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795945AB-EFC7-4ED2-A9E0-AD7234964F86}" xr6:coauthVersionLast="47" xr6:coauthVersionMax="47" xr10:uidLastSave="{00000000-0000-0000-0000-000000000000}"/>
  <bookViews>
    <workbookView xWindow="90" yWindow="90" windowWidth="19430" windowHeight="10430" xr2:uid="{00000000-000D-0000-FFFF-FFFF00000000}"/>
  </bookViews>
  <sheets>
    <sheet name="Osmolarity + Water content" sheetId="1" r:id="rId1"/>
    <sheet name="Macromolecules" sheetId="3" r:id="rId2"/>
    <sheet name="Properties CFPS + Cel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B35" i="4" l="1"/>
  <c r="D38" i="4"/>
  <c r="B38" i="4"/>
  <c r="F19" i="1" l="1"/>
  <c r="E33" i="4" s="1"/>
  <c r="F21" i="1"/>
  <c r="Q21" i="1" s="1"/>
  <c r="AM6" i="4"/>
  <c r="AO6" i="4"/>
  <c r="AK6" i="4"/>
  <c r="E54" i="4"/>
  <c r="G54" i="4" s="1"/>
  <c r="E47" i="4"/>
  <c r="H47" i="4" s="1"/>
  <c r="E40" i="4"/>
  <c r="H40" i="4" s="1"/>
  <c r="E36" i="4"/>
  <c r="D35" i="4"/>
  <c r="W4" i="4"/>
  <c r="S17" i="4"/>
  <c r="U4" i="4" s="1"/>
  <c r="R17" i="4"/>
  <c r="R19" i="4" s="1"/>
  <c r="W6" i="4"/>
  <c r="U6" i="4"/>
  <c r="S6" i="4"/>
  <c r="Q6" i="4"/>
  <c r="I6" i="4"/>
  <c r="K6" i="4"/>
  <c r="M6" i="4"/>
  <c r="O6" i="4"/>
  <c r="K26" i="4"/>
  <c r="K4" i="4" s="1"/>
  <c r="G6" i="4"/>
  <c r="E6" i="4"/>
  <c r="B20" i="4"/>
  <c r="E4" i="4" s="1"/>
  <c r="H54" i="4" l="1"/>
  <c r="H56" i="4" s="1"/>
  <c r="F47" i="4"/>
  <c r="F49" i="4" s="1"/>
  <c r="G56" i="4"/>
  <c r="H42" i="4"/>
  <c r="H35" i="4"/>
  <c r="H37" i="4" s="1"/>
  <c r="G35" i="4"/>
  <c r="G37" i="4" s="1"/>
  <c r="F35" i="4"/>
  <c r="F37" i="4" s="1"/>
  <c r="H49" i="4"/>
  <c r="AI6" i="4" s="1"/>
  <c r="F40" i="4"/>
  <c r="G47" i="4"/>
  <c r="G40" i="4"/>
  <c r="F54" i="4"/>
  <c r="S19" i="4"/>
  <c r="Q4" i="4" s="1"/>
  <c r="AE6" i="4" l="1"/>
  <c r="AC6" i="4"/>
  <c r="G42" i="4"/>
  <c r="F42" i="4"/>
  <c r="G49" i="4"/>
  <c r="F56" i="4"/>
  <c r="S18" i="4"/>
  <c r="S4" i="4" s="1"/>
  <c r="Y6" i="4" l="1"/>
  <c r="AG6" i="4"/>
  <c r="AA6" i="4"/>
  <c r="B10" i="3" l="1"/>
  <c r="B6" i="3"/>
  <c r="B7" i="3" s="1"/>
  <c r="E8" i="3" l="1"/>
  <c r="E11" i="3" s="1"/>
  <c r="E12" i="3" s="1"/>
  <c r="D8" i="3"/>
  <c r="D11" i="3" s="1"/>
  <c r="D12" i="3" s="1"/>
  <c r="F20" i="1" l="1"/>
  <c r="Q20" i="1"/>
  <c r="Q11" i="1"/>
  <c r="F12" i="1"/>
  <c r="Q12" i="1" s="1"/>
  <c r="Q5" i="1" l="1"/>
  <c r="K5" i="1"/>
  <c r="M5" i="1" s="1"/>
  <c r="K18" i="1" l="1"/>
  <c r="M18" i="1" s="1"/>
  <c r="K21" i="1"/>
  <c r="M2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4" i="1"/>
  <c r="M4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3" i="1"/>
  <c r="M3" i="1" s="1"/>
  <c r="K20" i="1" l="1"/>
  <c r="M20" i="1" s="1"/>
  <c r="Q18" i="1" l="1"/>
  <c r="G33" i="4" l="1"/>
  <c r="G38" i="4" s="1"/>
  <c r="H33" i="4"/>
  <c r="H38" i="4" s="1"/>
  <c r="F33" i="4"/>
  <c r="F38" i="4" s="1"/>
  <c r="Q19" i="1"/>
  <c r="Q4" i="1"/>
  <c r="Q6" i="1"/>
  <c r="Q7" i="1"/>
  <c r="Q8" i="1"/>
  <c r="Q9" i="1"/>
  <c r="Q10" i="1"/>
  <c r="Q13" i="1"/>
  <c r="Q14" i="1"/>
  <c r="Q15" i="1"/>
  <c r="Q16" i="1"/>
  <c r="Q17" i="1"/>
  <c r="Q3" i="1"/>
  <c r="F50" i="4" l="1"/>
  <c r="F52" i="4" s="1"/>
  <c r="F43" i="4"/>
  <c r="F45" i="4" s="1"/>
  <c r="F57" i="4"/>
  <c r="F44" i="4"/>
  <c r="Y4" i="4" s="1"/>
  <c r="H43" i="4"/>
  <c r="H45" i="4" s="1"/>
  <c r="H57" i="4"/>
  <c r="H59" i="4" s="1"/>
  <c r="H50" i="4"/>
  <c r="H52" i="4" s="1"/>
  <c r="M19" i="1"/>
  <c r="M22" i="1" s="1"/>
  <c r="M23" i="1" s="1"/>
  <c r="B8" i="4" s="1"/>
  <c r="D13" i="3"/>
  <c r="E13" i="3"/>
  <c r="C5" i="4" s="1"/>
  <c r="G57" i="4"/>
  <c r="G59" i="4" s="1"/>
  <c r="G43" i="4"/>
  <c r="G45" i="4" s="1"/>
  <c r="G50" i="4"/>
  <c r="Q22" i="1"/>
  <c r="B5" i="4" l="1"/>
  <c r="M5" i="4" s="1"/>
  <c r="Q23" i="1"/>
  <c r="B7" i="4" s="1"/>
  <c r="G44" i="4"/>
  <c r="AA4" i="4" s="1"/>
  <c r="H51" i="4"/>
  <c r="AI4" i="4" s="1"/>
  <c r="AB5" i="4"/>
  <c r="T5" i="4"/>
  <c r="AH5" i="4"/>
  <c r="L5" i="4"/>
  <c r="AD5" i="4"/>
  <c r="X5" i="4"/>
  <c r="AL5" i="4"/>
  <c r="AN5" i="4"/>
  <c r="H5" i="4"/>
  <c r="AJ5" i="4"/>
  <c r="AP5" i="4"/>
  <c r="R5" i="4"/>
  <c r="F5" i="4"/>
  <c r="AF5" i="4"/>
  <c r="P5" i="4"/>
  <c r="Z5" i="4"/>
  <c r="V5" i="4"/>
  <c r="J5" i="4"/>
  <c r="N5" i="4"/>
  <c r="F51" i="4"/>
  <c r="AE4" i="4" s="1"/>
  <c r="G58" i="4"/>
  <c r="AM4" i="4" s="1"/>
  <c r="H44" i="4"/>
  <c r="AC4" i="4" s="1"/>
  <c r="F58" i="4"/>
  <c r="F59" i="4"/>
  <c r="AK4" i="4" s="1"/>
  <c r="E8" i="4"/>
  <c r="AC8" i="4"/>
  <c r="AI8" i="4"/>
  <c r="M8" i="4"/>
  <c r="O8" i="4"/>
  <c r="K8" i="4"/>
  <c r="Y8" i="4"/>
  <c r="AE8" i="4"/>
  <c r="S8" i="4"/>
  <c r="AA8" i="4"/>
  <c r="AO8" i="4"/>
  <c r="U8" i="4"/>
  <c r="AG8" i="4"/>
  <c r="I8" i="4"/>
  <c r="W8" i="4"/>
  <c r="G8" i="4"/>
  <c r="Q8" i="4"/>
  <c r="AK8" i="4"/>
  <c r="AM8" i="4"/>
  <c r="G51" i="4"/>
  <c r="G52" i="4"/>
  <c r="H58" i="4"/>
  <c r="AO4" i="4" s="1"/>
  <c r="U5" i="4"/>
  <c r="AA5" i="4"/>
  <c r="E5" i="4"/>
  <c r="S5" i="4"/>
  <c r="AO5" i="4"/>
  <c r="I5" i="4"/>
  <c r="AK5" i="4"/>
  <c r="AE5" i="4"/>
  <c r="K5" i="4"/>
  <c r="Y5" i="4"/>
  <c r="W5" i="4"/>
  <c r="AG5" i="4"/>
  <c r="Q5" i="4"/>
  <c r="G5" i="4"/>
  <c r="AM5" i="4"/>
  <c r="O5" i="4"/>
  <c r="AC5" i="4"/>
  <c r="AI5" i="4" l="1"/>
  <c r="AG4" i="4"/>
  <c r="W7" i="4"/>
  <c r="E7" i="4"/>
  <c r="AM7" i="4"/>
  <c r="S7" i="4"/>
  <c r="O7" i="4"/>
  <c r="Q7" i="4"/>
  <c r="I7" i="4"/>
  <c r="AK7" i="4"/>
  <c r="M7" i="4"/>
  <c r="K7" i="4"/>
  <c r="G7" i="4"/>
  <c r="AO7" i="4"/>
  <c r="U7" i="4"/>
  <c r="AC7" i="4"/>
  <c r="AI7" i="4"/>
  <c r="AE7" i="4"/>
  <c r="AA7" i="4"/>
  <c r="AG7" i="4"/>
  <c r="Y7" i="4"/>
</calcChain>
</file>

<file path=xl/sharedStrings.xml><?xml version="1.0" encoding="utf-8"?>
<sst xmlns="http://schemas.openxmlformats.org/spreadsheetml/2006/main" count="330" uniqueCount="151">
  <si>
    <t>Plasmid concentration</t>
  </si>
  <si>
    <t>Mg-glutamate</t>
  </si>
  <si>
    <t>K-glutamate</t>
  </si>
  <si>
    <t>Buffer</t>
  </si>
  <si>
    <t>standard</t>
  </si>
  <si>
    <t>mM</t>
  </si>
  <si>
    <t>Leucine</t>
  </si>
  <si>
    <t>ATP</t>
  </si>
  <si>
    <t>GTP</t>
  </si>
  <si>
    <t>CTP</t>
  </si>
  <si>
    <t>UTP</t>
  </si>
  <si>
    <t>tRNA</t>
  </si>
  <si>
    <t>CoA</t>
  </si>
  <si>
    <t>NAD</t>
  </si>
  <si>
    <t>cAMP</t>
  </si>
  <si>
    <t>folinic acid</t>
  </si>
  <si>
    <t>spermidine</t>
  </si>
  <si>
    <t>PGA</t>
  </si>
  <si>
    <t>PEG-8000</t>
  </si>
  <si>
    <t>Energy Solution</t>
  </si>
  <si>
    <t>DNA</t>
  </si>
  <si>
    <t>scale</t>
  </si>
  <si>
    <t>temperature</t>
  </si>
  <si>
    <t>reaction time</t>
  </si>
  <si>
    <t>mg/mL</t>
  </si>
  <si>
    <t>%</t>
  </si>
  <si>
    <t>µL</t>
  </si>
  <si>
    <t>°C</t>
  </si>
  <si>
    <t>h</t>
  </si>
  <si>
    <t>n=number of dissociated particles</t>
  </si>
  <si>
    <t>nM</t>
  </si>
  <si>
    <t>kDa</t>
  </si>
  <si>
    <t>g/mol</t>
  </si>
  <si>
    <t>mosmol/L</t>
  </si>
  <si>
    <t>g/L</t>
  </si>
  <si>
    <t>average g/mol</t>
  </si>
  <si>
    <t>mg/L</t>
  </si>
  <si>
    <t>amino acids (each, expect for leucine)</t>
  </si>
  <si>
    <t>Component</t>
  </si>
  <si>
    <t>reaction conditions</t>
  </si>
  <si>
    <t>Buffer (HEPES)</t>
  </si>
  <si>
    <r>
      <t xml:space="preserve">cell-free </t>
    </r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 xml:space="preserve"> extract</t>
    </r>
  </si>
  <si>
    <t>molecular weight pure component</t>
  </si>
  <si>
    <t>19x</t>
  </si>
  <si>
    <t>concentration in CFPS</t>
  </si>
  <si>
    <t>Ratio in CFPS at water density = 997 g/L</t>
  </si>
  <si>
    <t>Osmolarity</t>
  </si>
  <si>
    <t>Protein concentration ~</t>
  </si>
  <si>
    <t>pH ~</t>
  </si>
  <si>
    <t>Ratio of non-water components in CFPS:</t>
  </si>
  <si>
    <t>Osmolarity without proteins:</t>
  </si>
  <si>
    <t>different unit</t>
  </si>
  <si>
    <t>Additional information and conversion in needed units</t>
  </si>
  <si>
    <t>Calculations for water content</t>
  </si>
  <si>
    <t>Calculations for Osmolarity of components w/o extract</t>
  </si>
  <si>
    <t>Water content in CFPS:</t>
  </si>
  <si>
    <t>Osmolarity in CFPS</t>
  </si>
  <si>
    <r>
      <t>Average OD</t>
    </r>
    <r>
      <rPr>
        <vertAlign val="subscript"/>
        <sz val="11"/>
        <color theme="1"/>
        <rFont val="Calibri"/>
        <family val="2"/>
        <scheme val="minor"/>
      </rPr>
      <t>600</t>
    </r>
    <r>
      <rPr>
        <sz val="11"/>
        <color theme="1"/>
        <rFont val="Calibri"/>
        <family val="2"/>
        <scheme val="minor"/>
      </rPr>
      <t xml:space="preserve"> at harvest</t>
    </r>
  </si>
  <si>
    <t>number of cells</t>
  </si>
  <si>
    <t>sum volume of cells</t>
  </si>
  <si>
    <t>Average cell wet weight</t>
  </si>
  <si>
    <t>Volume cultivation</t>
  </si>
  <si>
    <t>mL</t>
  </si>
  <si>
    <t>g</t>
  </si>
  <si>
    <t>Volume buffer (1mL/g CWW)</t>
  </si>
  <si>
    <t>L</t>
  </si>
  <si>
    <t>macromolecule concentration</t>
  </si>
  <si>
    <t>Macromolecules</t>
  </si>
  <si>
    <t>including added macromolecules</t>
  </si>
  <si>
    <t>lower limit=300 g/L</t>
  </si>
  <si>
    <t>upper limit=500 g/L</t>
  </si>
  <si>
    <t>comment/reference</t>
  </si>
  <si>
    <t>+ PEG-8000, tRNA, plasmid</t>
  </si>
  <si>
    <t>dilution in CFPS</t>
  </si>
  <si>
    <t>general value</t>
  </si>
  <si>
    <r>
      <t xml:space="preserve">Range of macromolecules in </t>
    </r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>:</t>
    </r>
  </si>
  <si>
    <t>Parameter</t>
  </si>
  <si>
    <t>Additive</t>
  </si>
  <si>
    <t>upper limit</t>
  </si>
  <si>
    <t>value/lower limit</t>
  </si>
  <si>
    <t>sum of Mg-glutamate and K-glutamate</t>
  </si>
  <si>
    <t>macromolecules in extrat + PEG-8000, tRNA, plasmid</t>
  </si>
  <si>
    <t>100% - substances in CFPS</t>
  </si>
  <si>
    <t>Viscosity of PEG-8000/water mixtures according to Syal et al. 2005</t>
  </si>
  <si>
    <t>% w/w</t>
  </si>
  <si>
    <t>viscosity [mPa*s]</t>
  </si>
  <si>
    <t>Methylcellulose (15 cP)</t>
  </si>
  <si>
    <t>2 = standard CFPS</t>
  </si>
  <si>
    <t>Concentration [%]</t>
  </si>
  <si>
    <t>Viscosity of methylcellulose (15 cP)/water mixtures according to Pijper 1947</t>
  </si>
  <si>
    <t>Carboxymethylcellulose</t>
  </si>
  <si>
    <t xml:space="preserve">Viscosity of carboxymethylcellulose/water mixtures </t>
  </si>
  <si>
    <t xml:space="preserve">Rule of thumb according to Adden et al. 2021: doubling the concentration increases viscosity by a factor 7-9 </t>
  </si>
  <si>
    <t>--&gt; Mean value:</t>
  </si>
  <si>
    <t>density [g/mL]</t>
  </si>
  <si>
    <t>molecular weight [g/mol]</t>
  </si>
  <si>
    <t>Viscosity[mPa*s]</t>
  </si>
  <si>
    <t>mol/mL</t>
  </si>
  <si>
    <t>% v/v</t>
  </si>
  <si>
    <t>in 100 mL</t>
  </si>
  <si>
    <t>mol</t>
  </si>
  <si>
    <t>H2O in 2%</t>
  </si>
  <si>
    <t>[g]</t>
  </si>
  <si>
    <t>[mL]</t>
  </si>
  <si>
    <t>H2O</t>
  </si>
  <si>
    <t>H2O in 100 mL</t>
  </si>
  <si>
    <t>CFPS</t>
  </si>
  <si>
    <t>ChCl+Urea (1:2)</t>
  </si>
  <si>
    <t>Choline Chloride</t>
  </si>
  <si>
    <t>molar fraction CFPS</t>
  </si>
  <si>
    <t>molar fraction ChCl+U</t>
  </si>
  <si>
    <t>ChCl+Glycerol (1:2)</t>
  </si>
  <si>
    <t>molar fraction ChCl+Glyc</t>
  </si>
  <si>
    <t>B+EG (1:3)</t>
  </si>
  <si>
    <t>Betaine</t>
  </si>
  <si>
    <t>molar fraction B+EG</t>
  </si>
  <si>
    <t>Choline Chloride + Urea (1:2)</t>
  </si>
  <si>
    <t>Choline Chloride + Glycerol (1:2)</t>
  </si>
  <si>
    <t>Betaine + Ethylene Glycol  (1:3)</t>
  </si>
  <si>
    <t>2%PEG-8000</t>
  </si>
  <si>
    <t>Viscosity [mPa*s]</t>
  </si>
  <si>
    <t>Macromolecules [g/L]</t>
  </si>
  <si>
    <t>Inorganic ions [mM]</t>
  </si>
  <si>
    <t>Osmolarity [mosM]</t>
  </si>
  <si>
    <t>Water content [%]</t>
  </si>
  <si>
    <t>[1]</t>
  </si>
  <si>
    <t>[2]</t>
  </si>
  <si>
    <t>References:</t>
  </si>
  <si>
    <t>https://bionumbers.hms.harvard.edu/bionumber.aspx?id=105861&amp;ver=4 (acessed 9th of Feburary 2024)</t>
  </si>
  <si>
    <t>https://bionumbers.hms.harvard.edu/bionumber.aspx?s=n&amp;v=1&amp;id=110969 (acessed 9th of Feburary 2024)</t>
  </si>
  <si>
    <t>[3]</t>
  </si>
  <si>
    <t>CFPS solution according to Rolf et al. 2020 [1]</t>
  </si>
  <si>
    <t>Rolf, J.; Siedentop, R.; Lütz, S.; Rosenthal, K. Int J Mol Sci 2020, 21. doi:10.3390/ijms21010105</t>
  </si>
  <si>
    <t>Theillet, F. X.; Binolfi, A.; Frembgen-Kesner, T.; Hingorani, K.; Sarkar, M.; Kyne, C.; Li, C.; Crowley, P. B.; Gierasch, L.; Pielak, G. J.; Elcock, A. H.; Gershenson, A.; Selenko, P. Physicochemical Properties of Cells and Their Effects on Intrinsically Disordered Proteins (IDPs). Chemical Reviews. American Chemical Society July 9, 2014, pp 6661–6714. doi:10.1021/cr400695p</t>
  </si>
  <si>
    <t>https://www.agilent.com/store/biocalculators/calcODBacterial.jsp?_requestid=1946121 (acessed 9th of Feburary 2024)</t>
  </si>
  <si>
    <t>according to [2]</t>
  </si>
  <si>
    <t>Volkmer, B.; Heinemann, M. PLoS One 2011, 6, 1–6. doi:10.1371/journal.pone.0023126</t>
  </si>
  <si>
    <r>
      <t xml:space="preserve">Volume </t>
    </r>
    <r>
      <rPr>
        <i/>
        <sz val="11"/>
        <color theme="1"/>
        <rFont val="Calibri"/>
        <family val="2"/>
        <scheme val="minor"/>
      </rPr>
      <t>E.coli</t>
    </r>
    <r>
      <rPr>
        <sz val="11"/>
        <color theme="1"/>
        <rFont val="Calibri"/>
        <family val="2"/>
        <scheme val="minor"/>
      </rPr>
      <t xml:space="preserve"> single cell in LB: 4.4+/-1.1 µm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[3]</t>
    </r>
  </si>
  <si>
    <t>Total</t>
  </si>
  <si>
    <t>Reference</t>
  </si>
  <si>
    <t>Syal, V. K.; Chauhan, A.; Chauhan, S. Ultrasonic Velocity, Viscosity and Density Studies of Poly (Ethylene Glycols)(PEG-8,000, PEG-20,000) in Acetonitrile (AN) and Water (H 2 O) Mixtures at 25 0 C; 2005; Vol. 27</t>
  </si>
  <si>
    <t>PEG in pure water [1]</t>
  </si>
  <si>
    <t>Yadav, A.; Pandey, S. J Chem Eng Data 2014, 59, 2221–2229. doi:10.1021/je5001796</t>
  </si>
  <si>
    <t>at 20 °C [2]</t>
  </si>
  <si>
    <t>Stefanovic, R.; Ludwig, M.; Webber, G. B.; Atkin, R.; Page, A. J. Physical Chemistry Chemical Physics 2017, 19, 3297–3306. doi:10.1039/c6cp07932f</t>
  </si>
  <si>
    <t>estimated from diagramm in [3]</t>
  </si>
  <si>
    <t>at 20 °C (density same as ChCl+Urea [3])</t>
  </si>
  <si>
    <t>Kučan, K. Z.; Perković, M.; Cmrk, K.; Načinović, D.; Rogošić, M. ChemistrySelect 2018, 3, 12582–12590. doi:10.1002/slct.201803251</t>
  </si>
  <si>
    <t>[4]</t>
  </si>
  <si>
    <t>[5]</t>
  </si>
  <si>
    <t>Mulia, K.; Adam, D.; Zahrina, I.; Krisanti, E. A. International Journal of Technology 2018, No. 2, 335–344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</si>
</sst>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2" fontId="0" fillId="3" borderId="0" xfId="0" quotePrefix="1" applyNumberFormat="1" applyFill="1"/>
    <xf numFmtId="0" fontId="0" fillId="3" borderId="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2" borderId="18" xfId="0" applyFill="1" applyBorder="1"/>
    <xf numFmtId="0" fontId="0" fillId="2" borderId="2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0" fontId="0" fillId="4" borderId="8" xfId="0" applyFill="1" applyBorder="1"/>
    <xf numFmtId="0" fontId="0" fillId="4" borderId="13" xfId="0" applyFill="1" applyBorder="1"/>
    <xf numFmtId="0" fontId="0" fillId="4" borderId="12" xfId="0" applyFill="1" applyBorder="1"/>
    <xf numFmtId="0" fontId="0" fillId="4" borderId="4" xfId="0" applyFill="1" applyBorder="1"/>
    <xf numFmtId="1" fontId="0" fillId="4" borderId="4" xfId="0" applyNumberFormat="1" applyFill="1" applyBorder="1"/>
    <xf numFmtId="2" fontId="0" fillId="4" borderId="4" xfId="0" applyNumberFormat="1" applyFill="1" applyBorder="1"/>
    <xf numFmtId="0" fontId="0" fillId="4" borderId="22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8" xfId="0" applyFill="1" applyBorder="1"/>
    <xf numFmtId="0" fontId="0" fillId="5" borderId="14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13" xfId="0" applyFill="1" applyBorder="1"/>
    <xf numFmtId="0" fontId="0" fillId="5" borderId="11" xfId="0" applyFill="1" applyBorder="1"/>
    <xf numFmtId="0" fontId="0" fillId="5" borderId="0" xfId="0" applyFill="1"/>
    <xf numFmtId="0" fontId="0" fillId="5" borderId="12" xfId="0" applyFill="1" applyBorder="1"/>
    <xf numFmtId="0" fontId="1" fillId="5" borderId="12" xfId="1" applyFill="1" applyBorder="1"/>
    <xf numFmtId="0" fontId="0" fillId="5" borderId="21" xfId="0" applyFill="1" applyBorder="1"/>
    <xf numFmtId="0" fontId="0" fillId="5" borderId="4" xfId="0" applyFill="1" applyBorder="1"/>
    <xf numFmtId="0" fontId="0" fillId="5" borderId="22" xfId="0" applyFill="1" applyBorder="1"/>
    <xf numFmtId="0" fontId="0" fillId="6" borderId="1" xfId="0" applyFill="1" applyBorder="1"/>
    <xf numFmtId="0" fontId="0" fillId="6" borderId="8" xfId="0" applyFill="1" applyBorder="1"/>
    <xf numFmtId="0" fontId="0" fillId="6" borderId="2" xfId="0" applyFill="1" applyBorder="1"/>
    <xf numFmtId="0" fontId="0" fillId="6" borderId="13" xfId="0" applyFill="1" applyBorder="1"/>
    <xf numFmtId="0" fontId="0" fillId="6" borderId="0" xfId="0" applyFill="1"/>
    <xf numFmtId="0" fontId="0" fillId="6" borderId="12" xfId="0" applyFill="1" applyBorder="1"/>
    <xf numFmtId="0" fontId="0" fillId="6" borderId="4" xfId="0" applyFill="1" applyBorder="1"/>
    <xf numFmtId="0" fontId="0" fillId="6" borderId="22" xfId="0" applyFill="1" applyBorder="1"/>
    <xf numFmtId="0" fontId="0" fillId="7" borderId="9" xfId="0" applyFill="1" applyBorder="1"/>
    <xf numFmtId="0" fontId="0" fillId="7" borderId="3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4" xfId="0" applyFill="1" applyBorder="1"/>
    <xf numFmtId="0" fontId="0" fillId="6" borderId="11" xfId="0" applyFill="1" applyBorder="1"/>
    <xf numFmtId="0" fontId="0" fillId="8" borderId="11" xfId="0" applyFill="1" applyBorder="1"/>
    <xf numFmtId="0" fontId="0" fillId="8" borderId="0" xfId="0" applyFill="1"/>
    <xf numFmtId="0" fontId="0" fillId="8" borderId="12" xfId="0" applyFill="1" applyBorder="1"/>
    <xf numFmtId="0" fontId="0" fillId="8" borderId="21" xfId="0" applyFill="1" applyBorder="1"/>
    <xf numFmtId="0" fontId="0" fillId="8" borderId="22" xfId="0" applyFill="1" applyBorder="1"/>
    <xf numFmtId="0" fontId="0" fillId="9" borderId="11" xfId="0" applyFill="1" applyBorder="1"/>
    <xf numFmtId="0" fontId="0" fillId="9" borderId="0" xfId="0" applyFill="1"/>
    <xf numFmtId="0" fontId="0" fillId="9" borderId="12" xfId="0" applyFill="1" applyBorder="1"/>
    <xf numFmtId="0" fontId="0" fillId="10" borderId="9" xfId="0" applyFill="1" applyBorder="1"/>
    <xf numFmtId="0" fontId="0" fillId="10" borderId="3" xfId="0" applyFill="1" applyBorder="1"/>
    <xf numFmtId="0" fontId="0" fillId="10" borderId="10" xfId="0" quotePrefix="1" applyFill="1" applyBorder="1"/>
    <xf numFmtId="2" fontId="0" fillId="8" borderId="0" xfId="0" applyNumberFormat="1" applyFill="1"/>
    <xf numFmtId="165" fontId="0" fillId="8" borderId="0" xfId="0" applyNumberFormat="1" applyFill="1"/>
    <xf numFmtId="11" fontId="0" fillId="8" borderId="0" xfId="0" applyNumberFormat="1" applyFill="1"/>
    <xf numFmtId="1" fontId="0" fillId="8" borderId="4" xfId="0" applyNumberFormat="1" applyFill="1" applyBorder="1"/>
    <xf numFmtId="1" fontId="0" fillId="9" borderId="0" xfId="0" applyNumberFormat="1" applyFill="1"/>
    <xf numFmtId="1" fontId="0" fillId="10" borderId="3" xfId="0" applyNumberFormat="1" applyFill="1" applyBorder="1"/>
    <xf numFmtId="1" fontId="0" fillId="8" borderId="3" xfId="0" applyNumberFormat="1" applyFill="1" applyBorder="1"/>
    <xf numFmtId="0" fontId="0" fillId="11" borderId="0" xfId="0" applyFill="1"/>
    <xf numFmtId="0" fontId="0" fillId="6" borderId="10" xfId="0" applyFill="1" applyBorder="1"/>
    <xf numFmtId="0" fontId="0" fillId="12" borderId="0" xfId="0" applyFill="1"/>
    <xf numFmtId="0" fontId="0" fillId="6" borderId="21" xfId="0" applyFill="1" applyBorder="1"/>
    <xf numFmtId="0" fontId="0" fillId="6" borderId="7" xfId="0" applyFill="1" applyBorder="1"/>
    <xf numFmtId="0" fontId="0" fillId="6" borderId="14" xfId="0" applyFill="1" applyBorder="1"/>
    <xf numFmtId="0" fontId="0" fillId="6" borderId="18" xfId="0" applyFill="1" applyBorder="1"/>
    <xf numFmtId="0" fontId="0" fillId="6" borderId="23" xfId="0" applyFill="1" applyBorder="1"/>
    <xf numFmtId="0" fontId="0" fillId="8" borderId="24" xfId="0" applyFill="1" applyBorder="1"/>
    <xf numFmtId="165" fontId="0" fillId="6" borderId="0" xfId="0" applyNumberFormat="1" applyFill="1"/>
    <xf numFmtId="165" fontId="0" fillId="5" borderId="11" xfId="0" applyNumberFormat="1" applyFill="1" applyBorder="1"/>
    <xf numFmtId="1" fontId="0" fillId="7" borderId="3" xfId="0" applyNumberFormat="1" applyFill="1" applyBorder="1"/>
    <xf numFmtId="0" fontId="0" fillId="0" borderId="9" xfId="0" applyBorder="1"/>
    <xf numFmtId="0" fontId="0" fillId="0" borderId="14" xfId="0" applyBorder="1"/>
    <xf numFmtId="9" fontId="0" fillId="5" borderId="2" xfId="0" applyNumberFormat="1" applyFill="1" applyBorder="1"/>
    <xf numFmtId="164" fontId="0" fillId="5" borderId="0" xfId="0" applyNumberFormat="1" applyFill="1"/>
    <xf numFmtId="1" fontId="0" fillId="5" borderId="0" xfId="0" applyNumberFormat="1" applyFill="1"/>
    <xf numFmtId="1" fontId="0" fillId="5" borderId="12" xfId="0" applyNumberFormat="1" applyFill="1" applyBorder="1"/>
    <xf numFmtId="164" fontId="0" fillId="5" borderId="3" xfId="0" applyNumberFormat="1" applyFill="1" applyBorder="1"/>
    <xf numFmtId="0" fontId="0" fillId="5" borderId="10" xfId="0" applyFill="1" applyBorder="1"/>
    <xf numFmtId="164" fontId="0" fillId="5" borderId="10" xfId="0" applyNumberFormat="1" applyFill="1" applyBorder="1"/>
    <xf numFmtId="9" fontId="0" fillId="6" borderId="2" xfId="0" applyNumberFormat="1" applyFill="1" applyBorder="1"/>
    <xf numFmtId="1" fontId="0" fillId="6" borderId="0" xfId="0" applyNumberFormat="1" applyFill="1"/>
    <xf numFmtId="1" fontId="0" fillId="6" borderId="12" xfId="0" applyNumberFormat="1" applyFill="1" applyBorder="1"/>
    <xf numFmtId="164" fontId="0" fillId="6" borderId="3" xfId="0" applyNumberFormat="1" applyFill="1" applyBorder="1"/>
    <xf numFmtId="164" fontId="0" fillId="6" borderId="10" xfId="0" applyNumberFormat="1" applyFill="1" applyBorder="1"/>
    <xf numFmtId="9" fontId="0" fillId="6" borderId="14" xfId="0" applyNumberFormat="1" applyFill="1" applyBorder="1"/>
    <xf numFmtId="164" fontId="0" fillId="6" borderId="11" xfId="0" applyNumberFormat="1" applyFill="1" applyBorder="1"/>
    <xf numFmtId="1" fontId="0" fillId="6" borderId="11" xfId="0" applyNumberFormat="1" applyFill="1" applyBorder="1"/>
    <xf numFmtId="164" fontId="0" fillId="6" borderId="9" xfId="0" applyNumberFormat="1" applyFill="1" applyBorder="1"/>
    <xf numFmtId="0" fontId="0" fillId="6" borderId="6" xfId="0" applyFill="1" applyBorder="1"/>
    <xf numFmtId="0" fontId="0" fillId="6" borderId="20" xfId="0" applyFill="1" applyBorder="1"/>
    <xf numFmtId="164" fontId="0" fillId="5" borderId="12" xfId="0" applyNumberFormat="1" applyFill="1" applyBorder="1"/>
    <xf numFmtId="164" fontId="0" fillId="5" borderId="22" xfId="0" applyNumberFormat="1" applyFill="1" applyBorder="1"/>
    <xf numFmtId="0" fontId="0" fillId="5" borderId="18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6" xfId="0" applyFill="1" applyBorder="1"/>
    <xf numFmtId="0" fontId="0" fillId="12" borderId="2" xfId="0" applyFill="1" applyBorder="1"/>
    <xf numFmtId="0" fontId="0" fillId="12" borderId="13" xfId="0" applyFill="1" applyBorder="1"/>
    <xf numFmtId="0" fontId="0" fillId="9" borderId="2" xfId="0" applyFill="1" applyBorder="1"/>
    <xf numFmtId="0" fontId="0" fillId="9" borderId="13" xfId="0" applyFill="1" applyBorder="1"/>
    <xf numFmtId="0" fontId="0" fillId="13" borderId="13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0" xfId="0" applyFill="1"/>
    <xf numFmtId="0" fontId="0" fillId="13" borderId="12" xfId="0" applyFill="1" applyBorder="1"/>
    <xf numFmtId="9" fontId="0" fillId="13" borderId="14" xfId="0" applyNumberFormat="1" applyFill="1" applyBorder="1"/>
    <xf numFmtId="9" fontId="0" fillId="13" borderId="2" xfId="0" applyNumberFormat="1" applyFill="1" applyBorder="1"/>
    <xf numFmtId="164" fontId="0" fillId="13" borderId="11" xfId="0" applyNumberFormat="1" applyFill="1" applyBorder="1"/>
    <xf numFmtId="0" fontId="0" fillId="13" borderId="11" xfId="0" applyFill="1" applyBorder="1"/>
    <xf numFmtId="1" fontId="0" fillId="13" borderId="11" xfId="0" applyNumberFormat="1" applyFill="1" applyBorder="1"/>
    <xf numFmtId="1" fontId="0" fillId="13" borderId="12" xfId="0" applyNumberFormat="1" applyFill="1" applyBorder="1"/>
    <xf numFmtId="1" fontId="0" fillId="13" borderId="0" xfId="0" applyNumberFormat="1" applyFill="1"/>
    <xf numFmtId="164" fontId="0" fillId="13" borderId="9" xfId="0" applyNumberFormat="1" applyFill="1" applyBorder="1"/>
    <xf numFmtId="164" fontId="0" fillId="13" borderId="10" xfId="0" applyNumberFormat="1" applyFill="1" applyBorder="1"/>
    <xf numFmtId="164" fontId="0" fillId="13" borderId="3" xfId="0" applyNumberFormat="1" applyFill="1" applyBorder="1"/>
    <xf numFmtId="0" fontId="0" fillId="13" borderId="10" xfId="0" applyFill="1" applyBorder="1"/>
    <xf numFmtId="0" fontId="0" fillId="13" borderId="0" xfId="0" quotePrefix="1" applyFill="1"/>
    <xf numFmtId="0" fontId="0" fillId="11" borderId="2" xfId="0" applyFill="1" applyBorder="1"/>
    <xf numFmtId="0" fontId="0" fillId="11" borderId="13" xfId="0" applyFill="1" applyBorder="1"/>
    <xf numFmtId="164" fontId="0" fillId="13" borderId="12" xfId="0" applyNumberFormat="1" applyFill="1" applyBorder="1"/>
    <xf numFmtId="0" fontId="0" fillId="13" borderId="6" xfId="0" applyFill="1" applyBorder="1"/>
    <xf numFmtId="0" fontId="0" fillId="13" borderId="18" xfId="0" applyFill="1" applyBorder="1"/>
    <xf numFmtId="0" fontId="0" fillId="13" borderId="20" xfId="0" applyFill="1" applyBorder="1"/>
    <xf numFmtId="0" fontId="0" fillId="4" borderId="7" xfId="0" applyFill="1" applyBorder="1"/>
    <xf numFmtId="9" fontId="0" fillId="4" borderId="14" xfId="0" applyNumberFormat="1" applyFill="1" applyBorder="1"/>
    <xf numFmtId="9" fontId="0" fillId="4" borderId="2" xfId="0" applyNumberFormat="1" applyFill="1" applyBorder="1"/>
    <xf numFmtId="2" fontId="0" fillId="4" borderId="11" xfId="0" applyNumberFormat="1" applyFill="1" applyBorder="1"/>
    <xf numFmtId="2" fontId="0" fillId="4" borderId="12" xfId="0" applyNumberFormat="1" applyFill="1" applyBorder="1"/>
    <xf numFmtId="1" fontId="0" fillId="4" borderId="11" xfId="0" applyNumberFormat="1" applyFill="1" applyBorder="1"/>
    <xf numFmtId="1" fontId="0" fillId="4" borderId="12" xfId="0" applyNumberFormat="1" applyFill="1" applyBorder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3" xfId="0" applyNumberFormat="1" applyFill="1" applyBorder="1"/>
    <xf numFmtId="2" fontId="0" fillId="4" borderId="10" xfId="0" applyNumberFormat="1" applyFill="1" applyBorder="1"/>
    <xf numFmtId="9" fontId="0" fillId="5" borderId="14" xfId="0" applyNumberFormat="1" applyFill="1" applyBorder="1"/>
    <xf numFmtId="1" fontId="0" fillId="5" borderId="11" xfId="0" applyNumberFormat="1" applyFill="1" applyBorder="1"/>
    <xf numFmtId="164" fontId="0" fillId="5" borderId="9" xfId="0" applyNumberFormat="1" applyFill="1" applyBorder="1"/>
    <xf numFmtId="0" fontId="0" fillId="14" borderId="2" xfId="0" applyFill="1" applyBorder="1"/>
    <xf numFmtId="0" fontId="0" fillId="14" borderId="13" xfId="0" applyFill="1" applyBorder="1"/>
    <xf numFmtId="0" fontId="0" fillId="15" borderId="13" xfId="0" applyFill="1" applyBorder="1"/>
    <xf numFmtId="0" fontId="0" fillId="15" borderId="7" xfId="0" applyFill="1" applyBorder="1"/>
    <xf numFmtId="0" fontId="0" fillId="15" borderId="8" xfId="0" applyFill="1" applyBorder="1"/>
    <xf numFmtId="0" fontId="0" fillId="15" borderId="0" xfId="0" applyFill="1"/>
    <xf numFmtId="0" fontId="0" fillId="15" borderId="12" xfId="0" applyFill="1" applyBorder="1"/>
    <xf numFmtId="9" fontId="0" fillId="15" borderId="14" xfId="0" applyNumberFormat="1" applyFill="1" applyBorder="1"/>
    <xf numFmtId="9" fontId="0" fillId="15" borderId="2" xfId="0" applyNumberFormat="1" applyFill="1" applyBorder="1"/>
    <xf numFmtId="2" fontId="0" fillId="15" borderId="11" xfId="0" applyNumberFormat="1" applyFill="1" applyBorder="1"/>
    <xf numFmtId="2" fontId="0" fillId="15" borderId="12" xfId="0" applyNumberFormat="1" applyFill="1" applyBorder="1"/>
    <xf numFmtId="2" fontId="0" fillId="15" borderId="0" xfId="0" applyNumberFormat="1" applyFill="1"/>
    <xf numFmtId="1" fontId="0" fillId="15" borderId="11" xfId="0" applyNumberFormat="1" applyFill="1" applyBorder="1"/>
    <xf numFmtId="1" fontId="0" fillId="15" borderId="12" xfId="0" applyNumberFormat="1" applyFill="1" applyBorder="1"/>
    <xf numFmtId="1" fontId="0" fillId="15" borderId="0" xfId="0" applyNumberFormat="1" applyFill="1"/>
    <xf numFmtId="164" fontId="0" fillId="15" borderId="9" xfId="0" applyNumberFormat="1" applyFill="1" applyBorder="1"/>
    <xf numFmtId="164" fontId="0" fillId="15" borderId="10" xfId="0" applyNumberFormat="1" applyFill="1" applyBorder="1"/>
    <xf numFmtId="164" fontId="0" fillId="15" borderId="3" xfId="0" applyNumberFormat="1" applyFill="1" applyBorder="1"/>
    <xf numFmtId="2" fontId="0" fillId="15" borderId="10" xfId="0" applyNumberFormat="1" applyFill="1" applyBorder="1"/>
    <xf numFmtId="0" fontId="0" fillId="16" borderId="2" xfId="0" applyFill="1" applyBorder="1"/>
    <xf numFmtId="0" fontId="0" fillId="16" borderId="13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8" xfId="0" applyFill="1" applyBorder="1"/>
    <xf numFmtId="9" fontId="0" fillId="2" borderId="14" xfId="0" applyNumberFormat="1" applyFill="1" applyBorder="1"/>
    <xf numFmtId="9" fontId="0" fillId="2" borderId="2" xfId="0" applyNumberForma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0" xfId="0" applyNumberFormat="1" applyFill="1"/>
    <xf numFmtId="1" fontId="0" fillId="2" borderId="11" xfId="0" applyNumberFormat="1" applyFill="1" applyBorder="1"/>
    <xf numFmtId="1" fontId="0" fillId="2" borderId="12" xfId="0" applyNumberFormat="1" applyFill="1" applyBorder="1"/>
    <xf numFmtId="1" fontId="0" fillId="2" borderId="0" xfId="0" applyNumberFormat="1" applyFill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3" xfId="0" applyNumberFormat="1" applyFill="1" applyBorder="1"/>
    <xf numFmtId="0" fontId="0" fillId="17" borderId="2" xfId="0" applyFill="1" applyBorder="1"/>
    <xf numFmtId="0" fontId="0" fillId="17" borderId="13" xfId="0" applyFill="1" applyBorder="1"/>
    <xf numFmtId="0" fontId="0" fillId="12" borderId="14" xfId="0" applyFill="1" applyBorder="1"/>
    <xf numFmtId="9" fontId="0" fillId="5" borderId="11" xfId="0" applyNumberFormat="1" applyFill="1" applyBorder="1"/>
    <xf numFmtId="164" fontId="0" fillId="5" borderId="11" xfId="0" applyNumberFormat="1" applyFill="1" applyBorder="1"/>
    <xf numFmtId="0" fontId="0" fillId="8" borderId="25" xfId="0" applyFill="1" applyBorder="1"/>
    <xf numFmtId="1" fontId="0" fillId="8" borderId="26" xfId="0" applyNumberFormat="1" applyFill="1" applyBorder="1"/>
    <xf numFmtId="0" fontId="0" fillId="8" borderId="26" xfId="0" applyFill="1" applyBorder="1"/>
    <xf numFmtId="0" fontId="0" fillId="7" borderId="25" xfId="0" applyFill="1" applyBorder="1"/>
    <xf numFmtId="0" fontId="0" fillId="7" borderId="26" xfId="0" applyFill="1" applyBorder="1"/>
    <xf numFmtId="1" fontId="0" fillId="7" borderId="26" xfId="0" applyNumberFormat="1" applyFill="1" applyBorder="1"/>
    <xf numFmtId="0" fontId="0" fillId="7" borderId="24" xfId="0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Viscosity</a:t>
            </a:r>
            <a:r>
              <a:rPr lang="de-DE" baseline="0"/>
              <a:t> PEG-8000/water mixtures</a:t>
            </a:r>
            <a:endParaRPr lang="de-D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'Properties CFPS + Cell'!$B$13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>
              <a:noFill/>
            </a:ln>
          </c:spPr>
          <c:xVal>
            <c:numRef>
              <c:f>'Properties CFPS + Cell'!$A$14:$A$19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'Properties CFPS + Cell'!$B$14:$B$19</c:f>
              <c:numCache>
                <c:formatCode>0.0</c:formatCode>
                <c:ptCount val="6"/>
                <c:pt idx="0">
                  <c:v>0.89029999999999998</c:v>
                </c:pt>
                <c:pt idx="1">
                  <c:v>0.99760000000000004</c:v>
                </c:pt>
                <c:pt idx="2">
                  <c:v>1.1412</c:v>
                </c:pt>
                <c:pt idx="3">
                  <c:v>1.2732000000000001</c:v>
                </c:pt>
                <c:pt idx="4">
                  <c:v>1.4058999999999999</c:v>
                </c:pt>
                <c:pt idx="5">
                  <c:v>1.6820999999999999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AF-4562-AACA-ABC764B6B3C8}"/>
            </c:ext>
          </c:extLst>
        </c:ser>
        <c:ser>
          <c:idx val="1"/>
          <c:order val="1"/>
          <c:tx>
            <c:strRef>
              <c:f>'Properties CFPS + Cell'!$B$13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810739282589675"/>
                  <c:y val="0.110694444444444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'Properties CFPS + Cell'!$A$14:$A$19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'Properties CFPS + Cell'!$B$14:$B$19</c:f>
              <c:numCache>
                <c:formatCode>0.0</c:formatCode>
                <c:ptCount val="6"/>
                <c:pt idx="0">
                  <c:v>0.89029999999999998</c:v>
                </c:pt>
                <c:pt idx="1">
                  <c:v>0.99760000000000004</c:v>
                </c:pt>
                <c:pt idx="2">
                  <c:v>1.1412</c:v>
                </c:pt>
                <c:pt idx="3">
                  <c:v>1.2732000000000001</c:v>
                </c:pt>
                <c:pt idx="4">
                  <c:v>1.4058999999999999</c:v>
                </c:pt>
                <c:pt idx="5">
                  <c:v>1.6820999999999999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AF-4562-AACA-ABC764B6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624368"/>
        <c:axId val="335624784"/>
      </c:scatterChart>
      <c:valAx>
        <c:axId val="33562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PEG-8000 [% w/w]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624784"/>
        <c:crosses val="autoZero"/>
        <c:crossBetween val="midCat"/>
      </c:valAx>
      <c:valAx>
        <c:axId val="3356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Viscosity [mPa*s]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6243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Viscosity methylcellulose/water</a:t>
            </a:r>
            <a:r>
              <a:rPr lang="en-US" baseline="0"/>
              <a:t> mixtures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'Properties CFPS + Cell'!$K$13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0.1255074365704287"/>
                  <c:y val="0.34680555555555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'Properties CFPS + Cell'!$J$14:$J$25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</c:numCache>
            </c:numRef>
          </c:xVal>
          <c:yVal>
            <c:numRef>
              <c:f>'Properties CFPS + Cell'!$K$14:$K$25</c:f>
              <c:numCache>
                <c:formatCode>General</c:formatCode>
                <c:ptCount val="12"/>
                <c:pt idx="0">
                  <c:v>2.5</c:v>
                </c:pt>
                <c:pt idx="1">
                  <c:v>3.5</c:v>
                </c:pt>
                <c:pt idx="2">
                  <c:v>6</c:v>
                </c:pt>
                <c:pt idx="3">
                  <c:v>7.5</c:v>
                </c:pt>
                <c:pt idx="4">
                  <c:v>9.5</c:v>
                </c:pt>
                <c:pt idx="5">
                  <c:v>15</c:v>
                </c:pt>
                <c:pt idx="6">
                  <c:v>24</c:v>
                </c:pt>
                <c:pt idx="7">
                  <c:v>37</c:v>
                </c:pt>
                <c:pt idx="8">
                  <c:v>54</c:v>
                </c:pt>
                <c:pt idx="9">
                  <c:v>80</c:v>
                </c:pt>
                <c:pt idx="10">
                  <c:v>113</c:v>
                </c:pt>
                <c:pt idx="11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0-4885-B3CE-473C6477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329696"/>
        <c:axId val="1289328864"/>
      </c:scatterChart>
      <c:valAx>
        <c:axId val="128932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methylcellulose [% w/w]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9328864"/>
        <c:crosses val="autoZero"/>
        <c:crossBetween val="midCat"/>
      </c:valAx>
      <c:valAx>
        <c:axId val="12893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Viscosity [mPa*s]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9329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13</xdr:row>
      <xdr:rowOff>7937</xdr:rowOff>
    </xdr:from>
    <xdr:to>
      <xdr:col>5</xdr:col>
      <xdr:colOff>1162050</xdr:colOff>
      <xdr:row>22</xdr:row>
      <xdr:rowOff>158750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342900</xdr:colOff>
      <xdr:row>13</xdr:row>
      <xdr:rowOff>0</xdr:rowOff>
    </xdr:from>
    <xdr:to>
      <xdr:col>16</xdr:col>
      <xdr:colOff>9525</xdr:colOff>
      <xdr:row>22</xdr:row>
      <xdr:rowOff>180975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C18" sqref="C18"/>
    </sheetView>
  </sheetViews>
  <sheetFormatPr baseColWidth="10" defaultColWidth="9.1796875" defaultRowHeight="14.5" x14ac:dyDescent="0.35"/>
  <cols>
    <col min="2" max="2" width="13.453125" customWidth="1"/>
    <col min="3" max="3" width="33.1796875" customWidth="1"/>
    <col min="8" max="8" width="12" bestFit="1" customWidth="1"/>
    <col min="9" max="9" width="13.81640625" customWidth="1"/>
    <col min="10" max="10" width="12.26953125" customWidth="1"/>
    <col min="11" max="14" width="12" customWidth="1"/>
    <col min="16" max="16" width="29.453125" customWidth="1"/>
    <col min="17" max="18" width="11" customWidth="1"/>
    <col min="19" max="19" width="10.26953125" customWidth="1"/>
  </cols>
  <sheetData>
    <row r="1" spans="1:19" x14ac:dyDescent="0.35">
      <c r="A1" s="13" t="s">
        <v>131</v>
      </c>
      <c r="B1" s="14"/>
      <c r="C1" s="16"/>
      <c r="D1" s="14"/>
      <c r="E1" s="15"/>
      <c r="F1" s="46" t="s">
        <v>52</v>
      </c>
      <c r="G1" s="47"/>
      <c r="H1" s="48"/>
      <c r="I1" s="47"/>
      <c r="J1" s="49"/>
      <c r="K1" s="34" t="s">
        <v>53</v>
      </c>
      <c r="L1" s="34"/>
      <c r="M1" s="34"/>
      <c r="N1" s="34"/>
      <c r="O1" s="39"/>
      <c r="P1" s="97" t="s">
        <v>54</v>
      </c>
      <c r="Q1" s="61"/>
      <c r="R1" s="61"/>
      <c r="S1" s="62"/>
    </row>
    <row r="2" spans="1:19" x14ac:dyDescent="0.35">
      <c r="A2" s="24"/>
      <c r="B2" s="23"/>
      <c r="C2" s="17" t="s">
        <v>38</v>
      </c>
      <c r="D2" s="22" t="s">
        <v>4</v>
      </c>
      <c r="E2" s="23"/>
      <c r="F2" s="50" t="s">
        <v>51</v>
      </c>
      <c r="G2" s="51"/>
      <c r="H2" s="52" t="s">
        <v>42</v>
      </c>
      <c r="I2" s="51"/>
      <c r="J2" s="53"/>
      <c r="K2" s="35" t="s">
        <v>44</v>
      </c>
      <c r="L2" s="40"/>
      <c r="M2" s="35" t="s">
        <v>45</v>
      </c>
      <c r="N2" s="35"/>
      <c r="O2" s="40"/>
      <c r="P2" s="98" t="s">
        <v>29</v>
      </c>
      <c r="Q2" s="63" t="s">
        <v>46</v>
      </c>
      <c r="R2" s="63"/>
      <c r="S2" s="64"/>
    </row>
    <row r="3" spans="1:19" x14ac:dyDescent="0.35">
      <c r="A3" s="18" t="s">
        <v>3</v>
      </c>
      <c r="B3" s="18"/>
      <c r="C3" s="30" t="s">
        <v>1</v>
      </c>
      <c r="D3" s="19">
        <v>10</v>
      </c>
      <c r="E3" s="20" t="s">
        <v>5</v>
      </c>
      <c r="F3" s="54"/>
      <c r="G3" s="55"/>
      <c r="H3" s="54">
        <v>169.42</v>
      </c>
      <c r="I3" s="55" t="s">
        <v>32</v>
      </c>
      <c r="J3" s="56"/>
      <c r="K3" s="37">
        <f t="shared" ref="K3:K11" si="0">D3*H3</f>
        <v>1694.1999999999998</v>
      </c>
      <c r="L3" s="41" t="s">
        <v>36</v>
      </c>
      <c r="M3" s="38">
        <f>K3/997000*100</f>
        <v>0.16992978936810429</v>
      </c>
      <c r="N3" s="36" t="s">
        <v>25</v>
      </c>
      <c r="O3" s="41"/>
      <c r="P3" s="74">
        <v>2</v>
      </c>
      <c r="Q3" s="65">
        <f>D3*P3</f>
        <v>20</v>
      </c>
      <c r="R3" s="65" t="s">
        <v>33</v>
      </c>
      <c r="S3" s="66"/>
    </row>
    <row r="4" spans="1:19" x14ac:dyDescent="0.35">
      <c r="A4" s="18"/>
      <c r="B4" s="18"/>
      <c r="C4" s="30" t="s">
        <v>2</v>
      </c>
      <c r="D4" s="19">
        <v>130</v>
      </c>
      <c r="E4" s="20" t="s">
        <v>5</v>
      </c>
      <c r="F4" s="54"/>
      <c r="G4" s="55"/>
      <c r="H4" s="54">
        <v>185.22</v>
      </c>
      <c r="I4" s="55" t="s">
        <v>32</v>
      </c>
      <c r="J4" s="56"/>
      <c r="K4" s="37">
        <f t="shared" si="0"/>
        <v>24078.6</v>
      </c>
      <c r="L4" s="41" t="s">
        <v>36</v>
      </c>
      <c r="M4" s="38">
        <f t="shared" ref="M4:M21" si="1">K4/997000*100</f>
        <v>2.4151053159478431</v>
      </c>
      <c r="N4" s="36" t="s">
        <v>25</v>
      </c>
      <c r="O4" s="41"/>
      <c r="P4" s="74">
        <v>2</v>
      </c>
      <c r="Q4" s="65">
        <f>D4*P4</f>
        <v>260</v>
      </c>
      <c r="R4" s="65" t="s">
        <v>33</v>
      </c>
      <c r="S4" s="66"/>
    </row>
    <row r="5" spans="1:19" x14ac:dyDescent="0.35">
      <c r="A5" s="18"/>
      <c r="B5" s="18" t="s">
        <v>43</v>
      </c>
      <c r="C5" s="30" t="s">
        <v>37</v>
      </c>
      <c r="D5" s="21">
        <v>1.5</v>
      </c>
      <c r="E5" s="20" t="s">
        <v>5</v>
      </c>
      <c r="F5" s="54"/>
      <c r="G5" s="55"/>
      <c r="H5" s="54">
        <v>110</v>
      </c>
      <c r="I5" s="55" t="s">
        <v>35</v>
      </c>
      <c r="J5" s="56"/>
      <c r="K5" s="37">
        <f t="shared" si="0"/>
        <v>165</v>
      </c>
      <c r="L5" s="41" t="s">
        <v>36</v>
      </c>
      <c r="M5" s="38">
        <f>K5/997000*100*19</f>
        <v>0.31444332998996988</v>
      </c>
      <c r="N5" s="36" t="s">
        <v>25</v>
      </c>
      <c r="O5" s="41"/>
      <c r="P5" s="74">
        <v>1</v>
      </c>
      <c r="Q5" s="65">
        <f>D5*P5*19</f>
        <v>28.5</v>
      </c>
      <c r="R5" s="65" t="s">
        <v>33</v>
      </c>
      <c r="S5" s="66"/>
    </row>
    <row r="6" spans="1:19" x14ac:dyDescent="0.35">
      <c r="A6" s="18"/>
      <c r="B6" s="18"/>
      <c r="C6" s="30" t="s">
        <v>6</v>
      </c>
      <c r="D6" s="21">
        <v>1.25</v>
      </c>
      <c r="E6" s="20" t="s">
        <v>5</v>
      </c>
      <c r="F6" s="54"/>
      <c r="G6" s="55"/>
      <c r="H6" s="54">
        <v>131.16999999999999</v>
      </c>
      <c r="I6" s="55" t="s">
        <v>32</v>
      </c>
      <c r="J6" s="56"/>
      <c r="K6" s="37">
        <f t="shared" si="0"/>
        <v>163.96249999999998</v>
      </c>
      <c r="L6" s="41" t="s">
        <v>36</v>
      </c>
      <c r="M6" s="38">
        <f t="shared" si="1"/>
        <v>1.644558676028084E-2</v>
      </c>
      <c r="N6" s="36" t="s">
        <v>25</v>
      </c>
      <c r="O6" s="41"/>
      <c r="P6" s="74">
        <v>1</v>
      </c>
      <c r="Q6" s="65">
        <f t="shared" ref="Q6:Q11" si="2">D6*P6</f>
        <v>1.25</v>
      </c>
      <c r="R6" s="65" t="s">
        <v>33</v>
      </c>
      <c r="S6" s="66"/>
    </row>
    <row r="7" spans="1:19" x14ac:dyDescent="0.35">
      <c r="A7" s="18"/>
      <c r="B7" s="18"/>
      <c r="C7" s="30" t="s">
        <v>40</v>
      </c>
      <c r="D7" s="19">
        <v>50</v>
      </c>
      <c r="E7" s="20" t="s">
        <v>5</v>
      </c>
      <c r="F7" s="54"/>
      <c r="G7" s="55"/>
      <c r="H7" s="54">
        <v>238.31</v>
      </c>
      <c r="I7" s="55" t="s">
        <v>32</v>
      </c>
      <c r="J7" s="56"/>
      <c r="K7" s="37">
        <f t="shared" si="0"/>
        <v>11915.5</v>
      </c>
      <c r="L7" s="41" t="s">
        <v>36</v>
      </c>
      <c r="M7" s="38">
        <f t="shared" si="1"/>
        <v>1.1951354062186559</v>
      </c>
      <c r="N7" s="36" t="s">
        <v>25</v>
      </c>
      <c r="O7" s="41"/>
      <c r="P7" s="74">
        <v>1</v>
      </c>
      <c r="Q7" s="65">
        <f t="shared" si="2"/>
        <v>50</v>
      </c>
      <c r="R7" s="65" t="s">
        <v>33</v>
      </c>
      <c r="S7" s="66"/>
    </row>
    <row r="8" spans="1:19" x14ac:dyDescent="0.35">
      <c r="A8" s="18"/>
      <c r="B8" s="13" t="s">
        <v>19</v>
      </c>
      <c r="C8" s="28" t="s">
        <v>7</v>
      </c>
      <c r="D8" s="14">
        <v>1.5</v>
      </c>
      <c r="E8" s="15" t="s">
        <v>5</v>
      </c>
      <c r="F8" s="54"/>
      <c r="G8" s="55"/>
      <c r="H8" s="54">
        <v>507.18</v>
      </c>
      <c r="I8" s="55" t="s">
        <v>32</v>
      </c>
      <c r="J8" s="56"/>
      <c r="K8" s="37">
        <f t="shared" si="0"/>
        <v>760.77</v>
      </c>
      <c r="L8" s="41" t="s">
        <v>36</v>
      </c>
      <c r="M8" s="38">
        <f t="shared" si="1"/>
        <v>7.6305917753259775E-2</v>
      </c>
      <c r="N8" s="36" t="s">
        <v>25</v>
      </c>
      <c r="O8" s="41"/>
      <c r="P8" s="74">
        <v>1</v>
      </c>
      <c r="Q8" s="65">
        <f t="shared" si="2"/>
        <v>1.5</v>
      </c>
      <c r="R8" s="65" t="s">
        <v>33</v>
      </c>
      <c r="S8" s="66"/>
    </row>
    <row r="9" spans="1:19" x14ac:dyDescent="0.35">
      <c r="A9" s="18"/>
      <c r="B9" s="18"/>
      <c r="C9" s="30" t="s">
        <v>8</v>
      </c>
      <c r="D9" s="19">
        <v>1.5</v>
      </c>
      <c r="E9" s="20" t="s">
        <v>5</v>
      </c>
      <c r="F9" s="54"/>
      <c r="G9" s="55"/>
      <c r="H9" s="54">
        <v>523.17999999999995</v>
      </c>
      <c r="I9" s="55" t="s">
        <v>32</v>
      </c>
      <c r="J9" s="56"/>
      <c r="K9" s="37">
        <f t="shared" si="0"/>
        <v>784.77</v>
      </c>
      <c r="L9" s="41" t="s">
        <v>36</v>
      </c>
      <c r="M9" s="38">
        <f t="shared" si="1"/>
        <v>7.8713139418254766E-2</v>
      </c>
      <c r="N9" s="36" t="s">
        <v>25</v>
      </c>
      <c r="O9" s="41"/>
      <c r="P9" s="74">
        <v>1</v>
      </c>
      <c r="Q9" s="65">
        <f t="shared" si="2"/>
        <v>1.5</v>
      </c>
      <c r="R9" s="65" t="s">
        <v>33</v>
      </c>
      <c r="S9" s="66"/>
    </row>
    <row r="10" spans="1:19" x14ac:dyDescent="0.35">
      <c r="A10" s="18"/>
      <c r="B10" s="18"/>
      <c r="C10" s="30" t="s">
        <v>9</v>
      </c>
      <c r="D10" s="19">
        <v>0.9</v>
      </c>
      <c r="E10" s="20" t="s">
        <v>5</v>
      </c>
      <c r="F10" s="54"/>
      <c r="G10" s="55"/>
      <c r="H10" s="54">
        <v>483.16</v>
      </c>
      <c r="I10" s="55" t="s">
        <v>32</v>
      </c>
      <c r="J10" s="56"/>
      <c r="K10" s="37">
        <f t="shared" si="0"/>
        <v>434.84400000000005</v>
      </c>
      <c r="L10" s="41" t="s">
        <v>36</v>
      </c>
      <c r="M10" s="38">
        <f t="shared" si="1"/>
        <v>4.3615245737211643E-2</v>
      </c>
      <c r="N10" s="36" t="s">
        <v>25</v>
      </c>
      <c r="O10" s="41"/>
      <c r="P10" s="74">
        <v>1</v>
      </c>
      <c r="Q10" s="65">
        <f t="shared" si="2"/>
        <v>0.9</v>
      </c>
      <c r="R10" s="65" t="s">
        <v>33</v>
      </c>
      <c r="S10" s="66"/>
    </row>
    <row r="11" spans="1:19" x14ac:dyDescent="0.35">
      <c r="A11" s="18"/>
      <c r="B11" s="18"/>
      <c r="C11" s="30" t="s">
        <v>10</v>
      </c>
      <c r="D11" s="19">
        <v>0.9</v>
      </c>
      <c r="E11" s="20" t="s">
        <v>5</v>
      </c>
      <c r="F11" s="54"/>
      <c r="G11" s="55"/>
      <c r="H11" s="54">
        <v>484.14</v>
      </c>
      <c r="I11" s="55" t="s">
        <v>32</v>
      </c>
      <c r="J11" s="56"/>
      <c r="K11" s="37">
        <f t="shared" si="0"/>
        <v>435.726</v>
      </c>
      <c r="L11" s="41" t="s">
        <v>36</v>
      </c>
      <c r="M11" s="38">
        <f t="shared" si="1"/>
        <v>4.37037111334002E-2</v>
      </c>
      <c r="N11" s="36" t="s">
        <v>25</v>
      </c>
      <c r="O11" s="41"/>
      <c r="P11" s="74">
        <v>1</v>
      </c>
      <c r="Q11" s="65">
        <f t="shared" si="2"/>
        <v>0.9</v>
      </c>
      <c r="R11" s="65" t="s">
        <v>33</v>
      </c>
      <c r="S11" s="66"/>
    </row>
    <row r="12" spans="1:19" x14ac:dyDescent="0.35">
      <c r="A12" s="18"/>
      <c r="B12" s="18"/>
      <c r="C12" s="30" t="s">
        <v>11</v>
      </c>
      <c r="D12" s="19">
        <v>0.2</v>
      </c>
      <c r="E12" s="20" t="s">
        <v>24</v>
      </c>
      <c r="F12" s="103">
        <f>D12/(H12*1000)*1000</f>
        <v>7.6923076923076919E-3</v>
      </c>
      <c r="G12" s="55" t="s">
        <v>5</v>
      </c>
      <c r="H12" s="54">
        <v>26</v>
      </c>
      <c r="I12" s="55" t="s">
        <v>31</v>
      </c>
      <c r="J12" s="56" t="s">
        <v>126</v>
      </c>
      <c r="K12" s="37">
        <f>D12*1000</f>
        <v>200</v>
      </c>
      <c r="L12" s="41" t="s">
        <v>36</v>
      </c>
      <c r="M12" s="38">
        <f t="shared" si="1"/>
        <v>2.0060180541624874E-2</v>
      </c>
      <c r="N12" s="36" t="s">
        <v>25</v>
      </c>
      <c r="O12" s="41"/>
      <c r="P12" s="74">
        <v>1</v>
      </c>
      <c r="Q12" s="102">
        <f>F12</f>
        <v>7.6923076923076919E-3</v>
      </c>
      <c r="R12" s="65" t="s">
        <v>33</v>
      </c>
      <c r="S12" s="66"/>
    </row>
    <row r="13" spans="1:19" x14ac:dyDescent="0.35">
      <c r="A13" s="18"/>
      <c r="B13" s="18"/>
      <c r="C13" s="30" t="s">
        <v>12</v>
      </c>
      <c r="D13" s="19">
        <v>0.26</v>
      </c>
      <c r="E13" s="20" t="s">
        <v>5</v>
      </c>
      <c r="F13" s="54"/>
      <c r="G13" s="55"/>
      <c r="H13" s="54">
        <v>767.5</v>
      </c>
      <c r="I13" s="55" t="s">
        <v>32</v>
      </c>
      <c r="J13" s="56"/>
      <c r="K13" s="37">
        <f t="shared" ref="K13:K18" si="3">D13*H13</f>
        <v>199.55</v>
      </c>
      <c r="L13" s="41" t="s">
        <v>36</v>
      </c>
      <c r="M13" s="38">
        <f t="shared" si="1"/>
        <v>2.001504513540622E-2</v>
      </c>
      <c r="N13" s="36" t="s">
        <v>25</v>
      </c>
      <c r="O13" s="41"/>
      <c r="P13" s="74">
        <v>1</v>
      </c>
      <c r="Q13" s="65">
        <f t="shared" ref="Q13:Q18" si="4">D13*P13</f>
        <v>0.26</v>
      </c>
      <c r="R13" s="65" t="s">
        <v>33</v>
      </c>
      <c r="S13" s="66"/>
    </row>
    <row r="14" spans="1:19" x14ac:dyDescent="0.35">
      <c r="A14" s="18"/>
      <c r="B14" s="18"/>
      <c r="C14" s="30" t="s">
        <v>13</v>
      </c>
      <c r="D14" s="19">
        <v>0.33</v>
      </c>
      <c r="E14" s="20" t="s">
        <v>5</v>
      </c>
      <c r="F14" s="54"/>
      <c r="G14" s="55"/>
      <c r="H14" s="54">
        <v>664.4</v>
      </c>
      <c r="I14" s="55" t="s">
        <v>32</v>
      </c>
      <c r="J14" s="56"/>
      <c r="K14" s="37">
        <f t="shared" si="3"/>
        <v>219.25200000000001</v>
      </c>
      <c r="L14" s="41" t="s">
        <v>36</v>
      </c>
      <c r="M14" s="38">
        <f t="shared" si="1"/>
        <v>2.1991173520561687E-2</v>
      </c>
      <c r="N14" s="36" t="s">
        <v>25</v>
      </c>
      <c r="O14" s="41"/>
      <c r="P14" s="74">
        <v>1</v>
      </c>
      <c r="Q14" s="65">
        <f t="shared" si="4"/>
        <v>0.33</v>
      </c>
      <c r="R14" s="65" t="s">
        <v>33</v>
      </c>
      <c r="S14" s="66"/>
    </row>
    <row r="15" spans="1:19" x14ac:dyDescent="0.35">
      <c r="A15" s="18"/>
      <c r="B15" s="18"/>
      <c r="C15" s="30" t="s">
        <v>14</v>
      </c>
      <c r="D15" s="19">
        <v>0.75</v>
      </c>
      <c r="E15" s="20" t="s">
        <v>5</v>
      </c>
      <c r="F15" s="54"/>
      <c r="G15" s="55"/>
      <c r="H15" s="54">
        <v>329.21</v>
      </c>
      <c r="I15" s="55" t="s">
        <v>32</v>
      </c>
      <c r="J15" s="56"/>
      <c r="K15" s="37">
        <f t="shared" si="3"/>
        <v>246.90749999999997</v>
      </c>
      <c r="L15" s="41" t="s">
        <v>36</v>
      </c>
      <c r="M15" s="38">
        <f t="shared" si="1"/>
        <v>2.4765045135406217E-2</v>
      </c>
      <c r="N15" s="36" t="s">
        <v>25</v>
      </c>
      <c r="O15" s="41"/>
      <c r="P15" s="74">
        <v>1</v>
      </c>
      <c r="Q15" s="65">
        <f t="shared" si="4"/>
        <v>0.75</v>
      </c>
      <c r="R15" s="65" t="s">
        <v>33</v>
      </c>
      <c r="S15" s="66"/>
    </row>
    <row r="16" spans="1:19" x14ac:dyDescent="0.35">
      <c r="A16" s="18"/>
      <c r="B16" s="18"/>
      <c r="C16" s="30" t="s">
        <v>15</v>
      </c>
      <c r="D16" s="19">
        <v>6.8000000000000005E-2</v>
      </c>
      <c r="E16" s="20" t="s">
        <v>5</v>
      </c>
      <c r="F16" s="54"/>
      <c r="G16" s="55"/>
      <c r="H16" s="54">
        <v>473.4</v>
      </c>
      <c r="I16" s="55" t="s">
        <v>32</v>
      </c>
      <c r="J16" s="56"/>
      <c r="K16" s="37">
        <f t="shared" si="3"/>
        <v>32.191200000000002</v>
      </c>
      <c r="L16" s="41" t="s">
        <v>36</v>
      </c>
      <c r="M16" s="38">
        <f t="shared" si="1"/>
        <v>3.2288064192577733E-3</v>
      </c>
      <c r="N16" s="36" t="s">
        <v>25</v>
      </c>
      <c r="O16" s="41"/>
      <c r="P16" s="74">
        <v>1</v>
      </c>
      <c r="Q16" s="65">
        <f t="shared" si="4"/>
        <v>6.8000000000000005E-2</v>
      </c>
      <c r="R16" s="65" t="s">
        <v>33</v>
      </c>
      <c r="S16" s="66"/>
    </row>
    <row r="17" spans="1:22" x14ac:dyDescent="0.35">
      <c r="A17" s="18"/>
      <c r="B17" s="18"/>
      <c r="C17" s="30" t="s">
        <v>16</v>
      </c>
      <c r="D17" s="19">
        <v>1</v>
      </c>
      <c r="E17" s="20" t="s">
        <v>5</v>
      </c>
      <c r="F17" s="54"/>
      <c r="G17" s="55"/>
      <c r="H17" s="54">
        <v>145.25</v>
      </c>
      <c r="I17" s="55" t="s">
        <v>32</v>
      </c>
      <c r="J17" s="56"/>
      <c r="K17" s="37">
        <f t="shared" si="3"/>
        <v>145.25</v>
      </c>
      <c r="L17" s="41" t="s">
        <v>36</v>
      </c>
      <c r="M17" s="38">
        <f t="shared" si="1"/>
        <v>1.4568706118355066E-2</v>
      </c>
      <c r="N17" s="36" t="s">
        <v>25</v>
      </c>
      <c r="O17" s="41"/>
      <c r="P17" s="74">
        <v>1</v>
      </c>
      <c r="Q17" s="65">
        <f t="shared" si="4"/>
        <v>1</v>
      </c>
      <c r="R17" s="65" t="s">
        <v>33</v>
      </c>
      <c r="S17" s="66"/>
    </row>
    <row r="18" spans="1:22" x14ac:dyDescent="0.35">
      <c r="A18" s="18"/>
      <c r="B18" s="18"/>
      <c r="C18" s="30" t="s">
        <v>17</v>
      </c>
      <c r="D18" s="19">
        <v>30</v>
      </c>
      <c r="E18" s="20" t="s">
        <v>5</v>
      </c>
      <c r="F18" s="54"/>
      <c r="G18" s="55"/>
      <c r="H18" s="54">
        <v>186.06</v>
      </c>
      <c r="I18" s="55" t="s">
        <v>32</v>
      </c>
      <c r="J18" s="56"/>
      <c r="K18" s="37">
        <f t="shared" si="3"/>
        <v>5581.8</v>
      </c>
      <c r="L18" s="41" t="s">
        <v>36</v>
      </c>
      <c r="M18" s="38">
        <f t="shared" si="1"/>
        <v>0.55985957873620862</v>
      </c>
      <c r="N18" s="36" t="s">
        <v>25</v>
      </c>
      <c r="O18" s="41"/>
      <c r="P18" s="74">
        <v>1</v>
      </c>
      <c r="Q18" s="65">
        <f t="shared" si="4"/>
        <v>30</v>
      </c>
      <c r="R18" s="65" t="s">
        <v>33</v>
      </c>
      <c r="S18" s="66"/>
    </row>
    <row r="19" spans="1:22" x14ac:dyDescent="0.35">
      <c r="A19" s="18"/>
      <c r="B19" s="24"/>
      <c r="C19" s="29" t="s">
        <v>18</v>
      </c>
      <c r="D19" s="22">
        <v>2</v>
      </c>
      <c r="E19" s="23" t="s">
        <v>25</v>
      </c>
      <c r="F19" s="54">
        <f>K19/H19</f>
        <v>2.5</v>
      </c>
      <c r="G19" s="55" t="s">
        <v>5</v>
      </c>
      <c r="H19" s="54">
        <v>8000</v>
      </c>
      <c r="I19" s="55" t="s">
        <v>32</v>
      </c>
      <c r="J19" s="57"/>
      <c r="K19" s="37">
        <v>20000</v>
      </c>
      <c r="L19" s="41" t="s">
        <v>36</v>
      </c>
      <c r="M19" s="38">
        <f t="shared" si="1"/>
        <v>2.0060180541624875</v>
      </c>
      <c r="N19" s="36" t="s">
        <v>25</v>
      </c>
      <c r="O19" s="41"/>
      <c r="P19" s="74">
        <v>1</v>
      </c>
      <c r="Q19" s="65">
        <f>F19</f>
        <v>2.5</v>
      </c>
      <c r="R19" s="65" t="s">
        <v>33</v>
      </c>
      <c r="S19" s="66"/>
      <c r="V19" s="2"/>
    </row>
    <row r="20" spans="1:22" x14ac:dyDescent="0.35">
      <c r="A20" s="24" t="s">
        <v>20</v>
      </c>
      <c r="B20" s="22"/>
      <c r="C20" s="29" t="s">
        <v>0</v>
      </c>
      <c r="D20" s="22">
        <v>1</v>
      </c>
      <c r="E20" s="23" t="s">
        <v>30</v>
      </c>
      <c r="F20" s="103">
        <f>1.24*58.5/20/1000</f>
        <v>3.627E-3</v>
      </c>
      <c r="G20" s="55" t="s">
        <v>24</v>
      </c>
      <c r="H20" s="54"/>
      <c r="I20" s="55"/>
      <c r="J20" s="56"/>
      <c r="K20" s="37">
        <f>F20*1000</f>
        <v>3.6270000000000002</v>
      </c>
      <c r="L20" s="41" t="s">
        <v>36</v>
      </c>
      <c r="M20" s="38">
        <f t="shared" si="1"/>
        <v>3.6379137412236712E-4</v>
      </c>
      <c r="N20" s="36" t="s">
        <v>25</v>
      </c>
      <c r="O20" s="41"/>
      <c r="P20" s="74">
        <v>1</v>
      </c>
      <c r="Q20" s="65">
        <f>D20*0.000001</f>
        <v>9.9999999999999995E-7</v>
      </c>
      <c r="R20" s="65" t="s">
        <v>33</v>
      </c>
      <c r="S20" s="66"/>
    </row>
    <row r="21" spans="1:22" ht="15" thickBot="1" x14ac:dyDescent="0.4">
      <c r="A21" s="25" t="s">
        <v>41</v>
      </c>
      <c r="B21" s="26"/>
      <c r="C21" s="31" t="s">
        <v>47</v>
      </c>
      <c r="D21" s="26">
        <v>10</v>
      </c>
      <c r="E21" s="27" t="s">
        <v>24</v>
      </c>
      <c r="F21" s="58">
        <f>D21/(H21*1000)*1000</f>
        <v>0.25</v>
      </c>
      <c r="G21" s="59" t="s">
        <v>5</v>
      </c>
      <c r="H21" s="58">
        <v>40</v>
      </c>
      <c r="I21" s="59" t="s">
        <v>31</v>
      </c>
      <c r="J21" s="60" t="s">
        <v>130</v>
      </c>
      <c r="K21" s="43">
        <f>10*1000</f>
        <v>10000</v>
      </c>
      <c r="L21" s="45" t="s">
        <v>36</v>
      </c>
      <c r="M21" s="44">
        <f t="shared" si="1"/>
        <v>1.0030090270812437</v>
      </c>
      <c r="N21" s="42" t="s">
        <v>25</v>
      </c>
      <c r="O21" s="45"/>
      <c r="P21" s="96">
        <v>1</v>
      </c>
      <c r="Q21" s="67">
        <f>F21</f>
        <v>0.25</v>
      </c>
      <c r="R21" s="67" t="s">
        <v>33</v>
      </c>
      <c r="S21" s="68"/>
    </row>
    <row r="22" spans="1:22" ht="15" thickTop="1" x14ac:dyDescent="0.35">
      <c r="A22" s="10" t="s">
        <v>39</v>
      </c>
      <c r="B22" s="11"/>
      <c r="C22" s="32" t="s">
        <v>21</v>
      </c>
      <c r="D22" s="11">
        <v>20</v>
      </c>
      <c r="E22" s="12" t="s">
        <v>26</v>
      </c>
      <c r="J22" s="215" t="s">
        <v>49</v>
      </c>
      <c r="K22" s="216"/>
      <c r="L22" s="216"/>
      <c r="M22" s="217">
        <f>SUM(M3:M21)</f>
        <v>8.0272768505516545</v>
      </c>
      <c r="N22" s="216" t="s">
        <v>25</v>
      </c>
      <c r="O22" s="218"/>
      <c r="P22" s="212" t="s">
        <v>50</v>
      </c>
      <c r="Q22" s="213">
        <f>SUM(Q3:Q20)</f>
        <v>399.46569330769222</v>
      </c>
      <c r="R22" s="214" t="s">
        <v>33</v>
      </c>
      <c r="S22" s="101"/>
    </row>
    <row r="23" spans="1:22" x14ac:dyDescent="0.35">
      <c r="A23" s="10"/>
      <c r="B23" s="11"/>
      <c r="C23" s="32" t="s">
        <v>22</v>
      </c>
      <c r="D23" s="11">
        <v>37</v>
      </c>
      <c r="E23" s="12" t="s">
        <v>27</v>
      </c>
      <c r="J23" s="69" t="s">
        <v>55</v>
      </c>
      <c r="K23" s="70"/>
      <c r="L23" s="70"/>
      <c r="M23" s="104">
        <f>100-M22</f>
        <v>91.972723149448342</v>
      </c>
      <c r="N23" s="70" t="s">
        <v>25</v>
      </c>
      <c r="O23" s="70"/>
      <c r="P23" s="71" t="s">
        <v>56</v>
      </c>
      <c r="Q23" s="92">
        <f>Q22+((Macromolecules!D13/(H21*1000)*1000)+(Macromolecules!E13/(H21*1000)*1000))/2</f>
        <v>404.85737221798632</v>
      </c>
      <c r="R23" s="92"/>
      <c r="S23" s="72" t="s">
        <v>33</v>
      </c>
    </row>
    <row r="24" spans="1:22" x14ac:dyDescent="0.35">
      <c r="A24" s="10"/>
      <c r="B24" s="11"/>
      <c r="C24" s="32" t="s">
        <v>23</v>
      </c>
      <c r="D24" s="11">
        <v>4</v>
      </c>
      <c r="E24" s="12" t="s">
        <v>28</v>
      </c>
    </row>
    <row r="25" spans="1:22" x14ac:dyDescent="0.35">
      <c r="A25" s="7"/>
      <c r="B25" s="8"/>
      <c r="C25" s="33" t="s">
        <v>48</v>
      </c>
      <c r="D25" s="8">
        <v>8</v>
      </c>
      <c r="E25" s="9"/>
    </row>
    <row r="29" spans="1:22" x14ac:dyDescent="0.35">
      <c r="A29" t="s">
        <v>127</v>
      </c>
    </row>
    <row r="30" spans="1:22" x14ac:dyDescent="0.35">
      <c r="A30" t="s">
        <v>125</v>
      </c>
      <c r="B30" t="s">
        <v>132</v>
      </c>
    </row>
    <row r="31" spans="1:22" x14ac:dyDescent="0.35">
      <c r="A31" t="s">
        <v>126</v>
      </c>
      <c r="B31" t="s">
        <v>129</v>
      </c>
    </row>
    <row r="32" spans="1:22" x14ac:dyDescent="0.35">
      <c r="A32" t="s">
        <v>130</v>
      </c>
      <c r="B32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I10" sqref="I10"/>
    </sheetView>
  </sheetViews>
  <sheetFormatPr baseColWidth="10" defaultRowHeight="14.5" x14ac:dyDescent="0.35"/>
  <cols>
    <col min="1" max="1" width="26.1796875" customWidth="1"/>
    <col min="2" max="2" width="16.453125" customWidth="1"/>
    <col min="3" max="3" width="7.26953125" customWidth="1"/>
    <col min="4" max="4" width="18" customWidth="1"/>
    <col min="5" max="5" width="17.1796875" customWidth="1"/>
    <col min="7" max="7" width="40.81640625" customWidth="1"/>
  </cols>
  <sheetData>
    <row r="1" spans="1:7" x14ac:dyDescent="0.35">
      <c r="A1" s="3"/>
      <c r="B1" s="1" t="s">
        <v>74</v>
      </c>
      <c r="C1" s="1"/>
      <c r="D1" s="1"/>
      <c r="E1" s="1"/>
      <c r="F1" s="1"/>
      <c r="G1" s="4" t="s">
        <v>71</v>
      </c>
    </row>
    <row r="2" spans="1:7" x14ac:dyDescent="0.35">
      <c r="A2" s="74" t="s">
        <v>75</v>
      </c>
      <c r="B2" s="65"/>
      <c r="C2" s="65"/>
      <c r="D2" s="65" t="s">
        <v>69</v>
      </c>
      <c r="E2" s="65" t="s">
        <v>70</v>
      </c>
      <c r="F2" s="65"/>
      <c r="G2" s="66" t="s">
        <v>125</v>
      </c>
    </row>
    <row r="3" spans="1:7" x14ac:dyDescent="0.35">
      <c r="A3" s="5"/>
      <c r="G3" s="6"/>
    </row>
    <row r="4" spans="1:7" x14ac:dyDescent="0.35">
      <c r="A4" s="75" t="s">
        <v>61</v>
      </c>
      <c r="B4" s="76">
        <v>500</v>
      </c>
      <c r="C4" s="76" t="s">
        <v>62</v>
      </c>
      <c r="D4" s="76"/>
      <c r="E4" s="76"/>
      <c r="F4" s="76"/>
      <c r="G4" s="77"/>
    </row>
    <row r="5" spans="1:7" ht="16.5" x14ac:dyDescent="0.45">
      <c r="A5" s="75" t="s">
        <v>57</v>
      </c>
      <c r="B5" s="76">
        <v>4.13</v>
      </c>
      <c r="C5" s="76"/>
      <c r="D5" s="76"/>
      <c r="E5" s="76"/>
      <c r="F5" s="76"/>
      <c r="G5" s="77"/>
    </row>
    <row r="6" spans="1:7" x14ac:dyDescent="0.35">
      <c r="A6" s="75" t="s">
        <v>58</v>
      </c>
      <c r="B6" s="88">
        <f>B5*8*10^8*$B$4</f>
        <v>1652000000000</v>
      </c>
      <c r="C6" s="76"/>
      <c r="D6" s="76"/>
      <c r="E6" s="76"/>
      <c r="F6" s="76"/>
      <c r="G6" s="77" t="s">
        <v>135</v>
      </c>
    </row>
    <row r="7" spans="1:7" ht="16.5" x14ac:dyDescent="0.35">
      <c r="A7" s="75" t="s">
        <v>59</v>
      </c>
      <c r="B7" s="87">
        <f>B6*4.4*10^(-15)</f>
        <v>7.2688000000000015E-3</v>
      </c>
      <c r="C7" s="76"/>
      <c r="D7" s="76"/>
      <c r="E7" s="76"/>
      <c r="F7" s="76"/>
      <c r="G7" s="77" t="s">
        <v>137</v>
      </c>
    </row>
    <row r="8" spans="1:7" x14ac:dyDescent="0.35">
      <c r="A8" s="75" t="s">
        <v>67</v>
      </c>
      <c r="B8" s="76"/>
      <c r="C8" s="76"/>
      <c r="D8" s="86">
        <f>B7*300</f>
        <v>2.1806400000000004</v>
      </c>
      <c r="E8" s="86">
        <f>B7*500</f>
        <v>3.6344000000000007</v>
      </c>
      <c r="F8" s="76" t="s">
        <v>63</v>
      </c>
      <c r="G8" s="77"/>
    </row>
    <row r="9" spans="1:7" x14ac:dyDescent="0.35">
      <c r="A9" s="75" t="s">
        <v>60</v>
      </c>
      <c r="B9" s="76">
        <v>3.57</v>
      </c>
      <c r="C9" s="76" t="s">
        <v>63</v>
      </c>
      <c r="D9" s="86"/>
      <c r="E9" s="86"/>
      <c r="F9" s="76"/>
      <c r="G9" s="77"/>
    </row>
    <row r="10" spans="1:7" x14ac:dyDescent="0.35">
      <c r="A10" s="75" t="s">
        <v>64</v>
      </c>
      <c r="B10" s="87">
        <f>B9*0.001</f>
        <v>3.5699999999999998E-3</v>
      </c>
      <c r="C10" s="76" t="s">
        <v>65</v>
      </c>
      <c r="D10" s="86"/>
      <c r="E10" s="86"/>
      <c r="F10" s="76"/>
      <c r="G10" s="77"/>
    </row>
    <row r="11" spans="1:7" ht="15" thickBot="1" x14ac:dyDescent="0.4">
      <c r="A11" s="78" t="s">
        <v>66</v>
      </c>
      <c r="B11" s="73"/>
      <c r="C11" s="73"/>
      <c r="D11" s="89">
        <f>D8/B10</f>
        <v>610.82352941176487</v>
      </c>
      <c r="E11" s="89">
        <f>E8/B10</f>
        <v>1018.0392156862748</v>
      </c>
      <c r="F11" s="73" t="s">
        <v>34</v>
      </c>
      <c r="G11" s="79"/>
    </row>
    <row r="12" spans="1:7" ht="15" thickTop="1" x14ac:dyDescent="0.35">
      <c r="A12" s="80" t="s">
        <v>73</v>
      </c>
      <c r="B12" s="81"/>
      <c r="C12" s="81"/>
      <c r="D12" s="90">
        <f>D11*0.24</f>
        <v>146.59764705882355</v>
      </c>
      <c r="E12" s="90">
        <f>E11*0.24</f>
        <v>244.32941176470595</v>
      </c>
      <c r="F12" s="81" t="s">
        <v>34</v>
      </c>
      <c r="G12" s="82"/>
    </row>
    <row r="13" spans="1:7" x14ac:dyDescent="0.35">
      <c r="A13" s="83" t="s">
        <v>68</v>
      </c>
      <c r="B13" s="84"/>
      <c r="C13" s="84"/>
      <c r="D13" s="91">
        <f>D12+'Osmolarity + Water content'!K19*0.001+'Osmolarity + Water content'!D12+'Osmolarity + Water content'!F20</f>
        <v>166.80127405882354</v>
      </c>
      <c r="E13" s="91">
        <f>E12+'Osmolarity + Water content'!K19*0.001+'Osmolarity + Water content'!D12+'Osmolarity + Water content'!F20</f>
        <v>264.53303876470591</v>
      </c>
      <c r="F13" s="84" t="s">
        <v>34</v>
      </c>
      <c r="G13" s="85" t="s">
        <v>72</v>
      </c>
    </row>
    <row r="16" spans="1:7" x14ac:dyDescent="0.35">
      <c r="A16" t="s">
        <v>127</v>
      </c>
    </row>
    <row r="17" spans="1:2" x14ac:dyDescent="0.35">
      <c r="A17" t="s">
        <v>125</v>
      </c>
      <c r="B17" t="s">
        <v>133</v>
      </c>
    </row>
    <row r="18" spans="1:2" x14ac:dyDescent="0.35">
      <c r="A18" t="s">
        <v>126</v>
      </c>
      <c r="B18" t="s">
        <v>134</v>
      </c>
    </row>
    <row r="19" spans="1:2" x14ac:dyDescent="0.35">
      <c r="A19" t="s">
        <v>130</v>
      </c>
      <c r="B19" t="s">
        <v>136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9"/>
  <sheetViews>
    <sheetView workbookViewId="0">
      <pane xSplit="1" topLeftCell="X1" activePane="topRight" state="frozen"/>
      <selection pane="topRight" activeCell="C7" sqref="C7"/>
    </sheetView>
  </sheetViews>
  <sheetFormatPr baseColWidth="10" defaultRowHeight="14.5" x14ac:dyDescent="0.35"/>
  <cols>
    <col min="1" max="1" width="20.81640625" customWidth="1"/>
    <col min="2" max="2" width="17" customWidth="1"/>
    <col min="3" max="3" width="16.54296875" customWidth="1"/>
    <col min="4" max="4" width="46.453125" customWidth="1"/>
    <col min="5" max="5" width="20.453125" customWidth="1"/>
    <col min="6" max="6" width="16.81640625" customWidth="1"/>
    <col min="8" max="8" width="16.26953125" customWidth="1"/>
    <col min="10" max="10" width="16.453125" customWidth="1"/>
    <col min="11" max="11" width="16.1796875" customWidth="1"/>
    <col min="12" max="12" width="16.453125" customWidth="1"/>
    <col min="14" max="14" width="16.81640625" customWidth="1"/>
    <col min="16" max="16" width="16.26953125" customWidth="1"/>
    <col min="18" max="18" width="16.54296875" customWidth="1"/>
    <col min="19" max="19" width="15.81640625" customWidth="1"/>
    <col min="20" max="20" width="16.54296875" customWidth="1"/>
    <col min="22" max="22" width="16.81640625" customWidth="1"/>
    <col min="24" max="24" width="16.54296875" customWidth="1"/>
    <col min="26" max="26" width="16.54296875" customWidth="1"/>
    <col min="28" max="28" width="16.81640625" customWidth="1"/>
    <col min="30" max="30" width="16.7265625" customWidth="1"/>
    <col min="32" max="32" width="16.7265625" customWidth="1"/>
    <col min="34" max="34" width="17.453125" customWidth="1"/>
    <col min="36" max="36" width="16.453125" customWidth="1"/>
    <col min="38" max="38" width="16.7265625" customWidth="1"/>
    <col min="40" max="40" width="16.453125" customWidth="1"/>
    <col min="42" max="42" width="16.7265625" customWidth="1"/>
  </cols>
  <sheetData>
    <row r="1" spans="1:42" x14ac:dyDescent="0.35">
      <c r="A1" s="106" t="s">
        <v>77</v>
      </c>
      <c r="B1" s="209" t="s">
        <v>18</v>
      </c>
      <c r="C1" s="131"/>
      <c r="D1" s="131"/>
      <c r="E1" s="131"/>
      <c r="F1" s="131"/>
      <c r="G1" s="131"/>
      <c r="H1" s="132"/>
      <c r="I1" s="133" t="s">
        <v>86</v>
      </c>
      <c r="J1" s="133"/>
      <c r="K1" s="133"/>
      <c r="L1" s="133"/>
      <c r="M1" s="133"/>
      <c r="N1" s="133"/>
      <c r="O1" s="133"/>
      <c r="P1" s="134"/>
      <c r="Q1" s="152" t="s">
        <v>90</v>
      </c>
      <c r="R1" s="152"/>
      <c r="S1" s="152"/>
      <c r="T1" s="152"/>
      <c r="U1" s="152"/>
      <c r="V1" s="152"/>
      <c r="W1" s="152"/>
      <c r="X1" s="153"/>
      <c r="Y1" s="172" t="s">
        <v>116</v>
      </c>
      <c r="Z1" s="172"/>
      <c r="AA1" s="172"/>
      <c r="AB1" s="172"/>
      <c r="AC1" s="172"/>
      <c r="AD1" s="173"/>
      <c r="AE1" s="191" t="s">
        <v>117</v>
      </c>
      <c r="AF1" s="191"/>
      <c r="AG1" s="191"/>
      <c r="AH1" s="191"/>
      <c r="AI1" s="191"/>
      <c r="AJ1" s="192"/>
      <c r="AK1" s="207" t="s">
        <v>118</v>
      </c>
      <c r="AL1" s="207"/>
      <c r="AM1" s="207"/>
      <c r="AN1" s="207"/>
      <c r="AO1" s="207"/>
      <c r="AP1" s="208"/>
    </row>
    <row r="2" spans="1:42" x14ac:dyDescent="0.35">
      <c r="A2" s="5" t="s">
        <v>88</v>
      </c>
      <c r="B2" s="210" t="s">
        <v>87</v>
      </c>
      <c r="C2" s="55"/>
      <c r="D2" s="49"/>
      <c r="E2" s="55">
        <v>5</v>
      </c>
      <c r="F2" s="49"/>
      <c r="G2" s="55">
        <v>10</v>
      </c>
      <c r="H2" s="56"/>
      <c r="I2" s="65">
        <v>0.5</v>
      </c>
      <c r="J2" s="62"/>
      <c r="K2" s="97">
        <v>0.75</v>
      </c>
      <c r="L2" s="62"/>
      <c r="M2" s="97">
        <v>1</v>
      </c>
      <c r="N2" s="62"/>
      <c r="O2" s="65">
        <v>2</v>
      </c>
      <c r="P2" s="66"/>
      <c r="Q2" s="136">
        <v>0.5</v>
      </c>
      <c r="R2" s="137"/>
      <c r="S2" s="136">
        <v>0.75</v>
      </c>
      <c r="T2" s="137"/>
      <c r="U2" s="136">
        <v>1</v>
      </c>
      <c r="V2" s="137"/>
      <c r="W2" s="138">
        <v>2</v>
      </c>
      <c r="X2" s="139"/>
      <c r="Y2" s="158">
        <v>2</v>
      </c>
      <c r="Z2" s="39"/>
      <c r="AA2" s="158">
        <v>5</v>
      </c>
      <c r="AB2" s="39"/>
      <c r="AC2" s="36">
        <v>10</v>
      </c>
      <c r="AD2" s="41"/>
      <c r="AE2" s="175">
        <v>2</v>
      </c>
      <c r="AF2" s="176"/>
      <c r="AG2" s="175">
        <v>5</v>
      </c>
      <c r="AH2" s="176"/>
      <c r="AI2" s="177">
        <v>10</v>
      </c>
      <c r="AJ2" s="178"/>
      <c r="AK2" s="194">
        <v>2</v>
      </c>
      <c r="AL2" s="195"/>
      <c r="AM2" s="194">
        <v>5</v>
      </c>
      <c r="AN2" s="195"/>
      <c r="AO2" s="11">
        <v>10</v>
      </c>
      <c r="AP2" s="12"/>
    </row>
    <row r="3" spans="1:42" x14ac:dyDescent="0.35">
      <c r="A3" s="106" t="s">
        <v>76</v>
      </c>
      <c r="B3" s="169" t="s">
        <v>79</v>
      </c>
      <c r="C3" s="51" t="s">
        <v>78</v>
      </c>
      <c r="D3" s="53" t="s">
        <v>71</v>
      </c>
      <c r="E3" s="107" t="s">
        <v>79</v>
      </c>
      <c r="F3" s="53" t="s">
        <v>78</v>
      </c>
      <c r="G3" s="107" t="s">
        <v>79</v>
      </c>
      <c r="H3" s="53" t="s">
        <v>78</v>
      </c>
      <c r="I3" s="114" t="s">
        <v>79</v>
      </c>
      <c r="J3" s="64" t="s">
        <v>78</v>
      </c>
      <c r="K3" s="119" t="s">
        <v>79</v>
      </c>
      <c r="L3" s="64" t="s">
        <v>78</v>
      </c>
      <c r="M3" s="119" t="s">
        <v>79</v>
      </c>
      <c r="N3" s="64" t="s">
        <v>78</v>
      </c>
      <c r="O3" s="114" t="s">
        <v>79</v>
      </c>
      <c r="P3" s="64" t="s">
        <v>78</v>
      </c>
      <c r="Q3" s="140" t="s">
        <v>79</v>
      </c>
      <c r="R3" s="135" t="s">
        <v>78</v>
      </c>
      <c r="S3" s="140" t="s">
        <v>79</v>
      </c>
      <c r="T3" s="135" t="s">
        <v>78</v>
      </c>
      <c r="U3" s="140" t="s">
        <v>79</v>
      </c>
      <c r="V3" s="135" t="s">
        <v>78</v>
      </c>
      <c r="W3" s="141" t="s">
        <v>79</v>
      </c>
      <c r="X3" s="135" t="s">
        <v>78</v>
      </c>
      <c r="Y3" s="159" t="s">
        <v>79</v>
      </c>
      <c r="Z3" s="40" t="s">
        <v>78</v>
      </c>
      <c r="AA3" s="159" t="s">
        <v>79</v>
      </c>
      <c r="AB3" s="40" t="s">
        <v>78</v>
      </c>
      <c r="AC3" s="160" t="s">
        <v>79</v>
      </c>
      <c r="AD3" s="40" t="s">
        <v>78</v>
      </c>
      <c r="AE3" s="179" t="s">
        <v>79</v>
      </c>
      <c r="AF3" s="174" t="s">
        <v>78</v>
      </c>
      <c r="AG3" s="179" t="s">
        <v>79</v>
      </c>
      <c r="AH3" s="174" t="s">
        <v>78</v>
      </c>
      <c r="AI3" s="180" t="s">
        <v>79</v>
      </c>
      <c r="AJ3" s="174" t="s">
        <v>78</v>
      </c>
      <c r="AK3" s="196" t="s">
        <v>79</v>
      </c>
      <c r="AL3" s="193" t="s">
        <v>78</v>
      </c>
      <c r="AM3" s="196" t="s">
        <v>79</v>
      </c>
      <c r="AN3" s="193" t="s">
        <v>78</v>
      </c>
      <c r="AO3" s="197" t="s">
        <v>79</v>
      </c>
      <c r="AP3" s="193" t="s">
        <v>78</v>
      </c>
    </row>
    <row r="4" spans="1:42" x14ac:dyDescent="0.35">
      <c r="A4" s="5" t="s">
        <v>120</v>
      </c>
      <c r="B4" s="211">
        <v>1.4</v>
      </c>
      <c r="C4" s="55"/>
      <c r="D4" s="56" t="s">
        <v>141</v>
      </c>
      <c r="E4" s="108">
        <f>B20</f>
        <v>2.2084999999999999</v>
      </c>
      <c r="F4" s="56"/>
      <c r="G4" s="55">
        <v>8.9</v>
      </c>
      <c r="H4" s="56"/>
      <c r="I4" s="65">
        <v>3.5</v>
      </c>
      <c r="J4" s="66"/>
      <c r="K4" s="120">
        <f>K26</f>
        <v>4.6872244381313903</v>
      </c>
      <c r="L4" s="66"/>
      <c r="M4" s="74">
        <v>6</v>
      </c>
      <c r="N4" s="66"/>
      <c r="O4" s="65">
        <v>12</v>
      </c>
      <c r="P4" s="66">
        <v>18</v>
      </c>
      <c r="Q4" s="142">
        <f>S19</f>
        <v>17.8125</v>
      </c>
      <c r="R4" s="139"/>
      <c r="S4" s="142">
        <f>S18</f>
        <v>71.25</v>
      </c>
      <c r="T4" s="139"/>
      <c r="U4" s="143">
        <f>S17</f>
        <v>142.5</v>
      </c>
      <c r="V4" s="139"/>
      <c r="W4" s="138">
        <f>S16</f>
        <v>1140</v>
      </c>
      <c r="X4" s="139"/>
      <c r="Y4" s="161">
        <f>EXP(F44*LN(B4)+F45*LN(D40))</f>
        <v>1.4497527563496826</v>
      </c>
      <c r="Z4" s="162"/>
      <c r="AA4" s="161">
        <f>EXP(G44*LN(B4)+G45*LN(D40))</f>
        <v>1.5308894891704907</v>
      </c>
      <c r="AB4" s="162"/>
      <c r="AC4" s="38">
        <f>EXP(H44*LN(B4)+H45*LN(D40))</f>
        <v>1.6864027071898702</v>
      </c>
      <c r="AD4" s="162"/>
      <c r="AE4" s="181">
        <f>EXP(F51*LN(B4)+F52*LN(D47))</f>
        <v>1.4315483736537307</v>
      </c>
      <c r="AF4" s="182"/>
      <c r="AG4" s="181">
        <f>EXP(G51*LN(B4)+G52*LN(D47))</f>
        <v>1.4823051801969669</v>
      </c>
      <c r="AH4" s="182"/>
      <c r="AI4" s="183">
        <f>EXP(H51*LN(B4)+H52*LN(D47))</f>
        <v>1.5773963471817458</v>
      </c>
      <c r="AJ4" s="182"/>
      <c r="AK4" s="198">
        <f>EXP(F58*LN(B4)+F59*LN(D54))</f>
        <v>1.4299029040999358</v>
      </c>
      <c r="AL4" s="199"/>
      <c r="AM4" s="198">
        <f>EXP(G58*LN(B4)+G59*LN(D54))</f>
        <v>1.4777713192736743</v>
      </c>
      <c r="AN4" s="199"/>
      <c r="AO4" s="200">
        <f>EXP(H58*LN(B4)+H59*LN(D54))</f>
        <v>1.5666690534615193</v>
      </c>
      <c r="AP4" s="12"/>
    </row>
    <row r="5" spans="1:42" x14ac:dyDescent="0.35">
      <c r="A5" s="5" t="s">
        <v>121</v>
      </c>
      <c r="B5" s="170">
        <f>Macromolecules!D13</f>
        <v>166.80127405882354</v>
      </c>
      <c r="C5" s="109">
        <f>Macromolecules!E13</f>
        <v>264.53303876470591</v>
      </c>
      <c r="D5" s="56" t="s">
        <v>81</v>
      </c>
      <c r="E5" s="109">
        <f>B5+30</f>
        <v>196.80127405882354</v>
      </c>
      <c r="F5" s="110">
        <f>C5+30</f>
        <v>294.53303876470591</v>
      </c>
      <c r="G5" s="109">
        <f>B5+80</f>
        <v>246.80127405882354</v>
      </c>
      <c r="H5" s="110">
        <f>C5+80</f>
        <v>344.53303876470591</v>
      </c>
      <c r="I5" s="115">
        <f>$B$5+$I$2*10</f>
        <v>171.80127405882354</v>
      </c>
      <c r="J5" s="116">
        <f>$C$5+$I$2*10</f>
        <v>269.53303876470591</v>
      </c>
      <c r="K5" s="121">
        <f>$B$5+$K$2*10</f>
        <v>174.30127405882354</v>
      </c>
      <c r="L5" s="116">
        <f>$C$5+$K$2*10</f>
        <v>272.03303876470591</v>
      </c>
      <c r="M5" s="121">
        <f>$B$5+$M$2*10</f>
        <v>176.80127405882354</v>
      </c>
      <c r="N5" s="116">
        <f>$C$5+$M$2*10</f>
        <v>274.53303876470591</v>
      </c>
      <c r="O5" s="115">
        <f>$B$5+$O$2*10</f>
        <v>186.80127405882354</v>
      </c>
      <c r="P5" s="116">
        <f>$C$5+$O$2*10</f>
        <v>284.53303876470591</v>
      </c>
      <c r="Q5" s="144">
        <f>$B$5+$I$2*10</f>
        <v>171.80127405882354</v>
      </c>
      <c r="R5" s="145">
        <f>$C$5+$I$2*10</f>
        <v>269.53303876470591</v>
      </c>
      <c r="S5" s="144">
        <f>$B$5+$K$2*10</f>
        <v>174.30127405882354</v>
      </c>
      <c r="T5" s="145">
        <f>$C$5+$K$2*10</f>
        <v>272.03303876470591</v>
      </c>
      <c r="U5" s="144">
        <f>$B$5+$M$2*10</f>
        <v>176.80127405882354</v>
      </c>
      <c r="V5" s="145">
        <f>$C$5+$M$2*10</f>
        <v>274.53303876470591</v>
      </c>
      <c r="W5" s="146">
        <f>$B$5+$O$2*10</f>
        <v>186.80127405882354</v>
      </c>
      <c r="X5" s="145">
        <f>$C$5+$O$2*10</f>
        <v>284.53303876470591</v>
      </c>
      <c r="Y5" s="163">
        <f>$B$5</f>
        <v>166.80127405882354</v>
      </c>
      <c r="Z5" s="164">
        <f>$C$5</f>
        <v>264.53303876470591</v>
      </c>
      <c r="AA5" s="163">
        <f t="shared" ref="AA5" si="0">$B$5</f>
        <v>166.80127405882354</v>
      </c>
      <c r="AB5" s="164">
        <f t="shared" ref="AB5" si="1">$C$5</f>
        <v>264.53303876470591</v>
      </c>
      <c r="AC5" s="37">
        <f t="shared" ref="AC5" si="2">$B$5</f>
        <v>166.80127405882354</v>
      </c>
      <c r="AD5" s="164">
        <f t="shared" ref="AD5" si="3">$C$5</f>
        <v>264.53303876470591</v>
      </c>
      <c r="AE5" s="184">
        <f t="shared" ref="AE5:AO5" si="4">$B$5</f>
        <v>166.80127405882354</v>
      </c>
      <c r="AF5" s="185">
        <f t="shared" ref="AF5:AP5" si="5">$C$5</f>
        <v>264.53303876470591</v>
      </c>
      <c r="AG5" s="184">
        <f t="shared" si="4"/>
        <v>166.80127405882354</v>
      </c>
      <c r="AH5" s="185">
        <f t="shared" si="5"/>
        <v>264.53303876470591</v>
      </c>
      <c r="AI5" s="186">
        <f t="shared" si="4"/>
        <v>166.80127405882354</v>
      </c>
      <c r="AJ5" s="185">
        <f t="shared" si="5"/>
        <v>264.53303876470591</v>
      </c>
      <c r="AK5" s="201">
        <f t="shared" si="4"/>
        <v>166.80127405882354</v>
      </c>
      <c r="AL5" s="202">
        <f t="shared" si="5"/>
        <v>264.53303876470591</v>
      </c>
      <c r="AM5" s="201">
        <f t="shared" si="4"/>
        <v>166.80127405882354</v>
      </c>
      <c r="AN5" s="202">
        <f t="shared" si="5"/>
        <v>264.53303876470591</v>
      </c>
      <c r="AO5" s="203">
        <f t="shared" si="4"/>
        <v>166.80127405882354</v>
      </c>
      <c r="AP5" s="202">
        <f t="shared" si="5"/>
        <v>264.53303876470591</v>
      </c>
    </row>
    <row r="6" spans="1:42" x14ac:dyDescent="0.35">
      <c r="A6" s="5" t="s">
        <v>122</v>
      </c>
      <c r="B6" s="54">
        <v>140</v>
      </c>
      <c r="C6" s="55"/>
      <c r="D6" s="56" t="s">
        <v>80</v>
      </c>
      <c r="E6" s="55">
        <f>$B$6</f>
        <v>140</v>
      </c>
      <c r="F6" s="56"/>
      <c r="G6" s="55">
        <f t="shared" ref="G6:W6" si="6">$B$6</f>
        <v>140</v>
      </c>
      <c r="H6" s="56"/>
      <c r="I6" s="65">
        <f t="shared" si="6"/>
        <v>140</v>
      </c>
      <c r="J6" s="66"/>
      <c r="K6" s="74">
        <f t="shared" si="6"/>
        <v>140</v>
      </c>
      <c r="L6" s="66"/>
      <c r="M6" s="74">
        <f t="shared" si="6"/>
        <v>140</v>
      </c>
      <c r="N6" s="66"/>
      <c r="O6" s="65">
        <f t="shared" si="6"/>
        <v>140</v>
      </c>
      <c r="P6" s="66"/>
      <c r="Q6" s="143">
        <f t="shared" si="6"/>
        <v>140</v>
      </c>
      <c r="R6" s="139"/>
      <c r="S6" s="143">
        <f t="shared" si="6"/>
        <v>140</v>
      </c>
      <c r="T6" s="139"/>
      <c r="U6" s="143">
        <f t="shared" si="6"/>
        <v>140</v>
      </c>
      <c r="V6" s="139"/>
      <c r="W6" s="138">
        <f t="shared" si="6"/>
        <v>140</v>
      </c>
      <c r="X6" s="139"/>
      <c r="Y6" s="163">
        <f>$B$6+F42</f>
        <v>232.40009240009238</v>
      </c>
      <c r="Z6" s="164"/>
      <c r="AA6" s="163">
        <f>$B$6+G42</f>
        <v>371.000231000231</v>
      </c>
      <c r="AB6" s="164"/>
      <c r="AC6" s="37">
        <f>$B$6+H42</f>
        <v>602.00046200046199</v>
      </c>
      <c r="AD6" s="164"/>
      <c r="AE6" s="184">
        <f>$B$6+F49</f>
        <v>214.11799584939223</v>
      </c>
      <c r="AF6" s="185"/>
      <c r="AG6" s="184">
        <f>$B$6+G49</f>
        <v>325.29498962348055</v>
      </c>
      <c r="AH6" s="185"/>
      <c r="AI6" s="186">
        <f>$B$6+H49</f>
        <v>510.58997924696109</v>
      </c>
      <c r="AJ6" s="185"/>
      <c r="AK6" s="201">
        <f>$B$6</f>
        <v>140</v>
      </c>
      <c r="AL6" s="202"/>
      <c r="AM6" s="201">
        <f t="shared" ref="AM6:AO6" si="7">$B$6</f>
        <v>140</v>
      </c>
      <c r="AN6" s="202"/>
      <c r="AO6" s="203">
        <f t="shared" si="7"/>
        <v>140</v>
      </c>
      <c r="AP6" s="202"/>
    </row>
    <row r="7" spans="1:42" x14ac:dyDescent="0.35">
      <c r="A7" s="5" t="s">
        <v>123</v>
      </c>
      <c r="B7" s="170">
        <f>'Osmolarity + Water content'!Q23</f>
        <v>404.85737221798632</v>
      </c>
      <c r="C7" s="109"/>
      <c r="D7" s="56"/>
      <c r="E7" s="109">
        <f>$B$7</f>
        <v>404.85737221798632</v>
      </c>
      <c r="F7" s="110"/>
      <c r="G7" s="109">
        <f>$B$7</f>
        <v>404.85737221798632</v>
      </c>
      <c r="H7" s="110"/>
      <c r="I7" s="115">
        <f t="shared" ref="I7:Q7" si="8">$B$7</f>
        <v>404.85737221798632</v>
      </c>
      <c r="J7" s="116"/>
      <c r="K7" s="121">
        <f t="shared" ref="K7" si="9">$B$7</f>
        <v>404.85737221798632</v>
      </c>
      <c r="L7" s="116"/>
      <c r="M7" s="121">
        <f t="shared" ref="M7" si="10">$B$7</f>
        <v>404.85737221798632</v>
      </c>
      <c r="N7" s="116"/>
      <c r="O7" s="115">
        <f t="shared" ref="O7" si="11">$B$7</f>
        <v>404.85737221798632</v>
      </c>
      <c r="P7" s="116"/>
      <c r="Q7" s="144">
        <f t="shared" si="8"/>
        <v>404.85737221798632</v>
      </c>
      <c r="R7" s="145"/>
      <c r="S7" s="144">
        <f t="shared" ref="S7" si="12">$B$7</f>
        <v>404.85737221798632</v>
      </c>
      <c r="T7" s="145"/>
      <c r="U7" s="144">
        <f t="shared" ref="U7" si="13">$B$7</f>
        <v>404.85737221798632</v>
      </c>
      <c r="V7" s="145"/>
      <c r="W7" s="146">
        <f t="shared" ref="W7" si="14">$B$7</f>
        <v>404.85737221798632</v>
      </c>
      <c r="X7" s="145"/>
      <c r="Y7" s="163">
        <f>$B$7+F42*2</f>
        <v>589.65755701817113</v>
      </c>
      <c r="Z7" s="164"/>
      <c r="AA7" s="163">
        <f>$B$7+G42*2</f>
        <v>866.85783421844826</v>
      </c>
      <c r="AB7" s="164"/>
      <c r="AC7" s="37">
        <f>$B$7+H42*2</f>
        <v>1328.8582962189103</v>
      </c>
      <c r="AD7" s="164"/>
      <c r="AE7" s="184">
        <f>$B$7+F49*2</f>
        <v>553.09336391677073</v>
      </c>
      <c r="AF7" s="185"/>
      <c r="AG7" s="184">
        <f>$B$7+G49*2</f>
        <v>775.44735146494736</v>
      </c>
      <c r="AH7" s="185"/>
      <c r="AI7" s="186">
        <f>$B$7+H49*2</f>
        <v>1146.0373307119085</v>
      </c>
      <c r="AJ7" s="185"/>
      <c r="AK7" s="201">
        <f t="shared" ref="AK7:AO7" si="15">$B$7</f>
        <v>404.85737221798632</v>
      </c>
      <c r="AL7" s="202"/>
      <c r="AM7" s="201">
        <f t="shared" si="15"/>
        <v>404.85737221798632</v>
      </c>
      <c r="AN7" s="202"/>
      <c r="AO7" s="203">
        <f t="shared" si="15"/>
        <v>404.85737221798632</v>
      </c>
      <c r="AP7" s="202"/>
    </row>
    <row r="8" spans="1:42" x14ac:dyDescent="0.35">
      <c r="A8" s="105" t="s">
        <v>124</v>
      </c>
      <c r="B8" s="171">
        <f>'Osmolarity + Water content'!M23</f>
        <v>91.972723149448342</v>
      </c>
      <c r="C8" s="48"/>
      <c r="D8" s="112" t="s">
        <v>82</v>
      </c>
      <c r="E8" s="111">
        <f>$B$8-3</f>
        <v>88.972723149448342</v>
      </c>
      <c r="F8" s="113"/>
      <c r="G8" s="111">
        <f>$B$8-8</f>
        <v>83.972723149448342</v>
      </c>
      <c r="H8" s="113"/>
      <c r="I8" s="117">
        <f>$B$8-I2</f>
        <v>91.472723149448342</v>
      </c>
      <c r="J8" s="118"/>
      <c r="K8" s="122">
        <f>$B$8-K2</f>
        <v>91.222723149448342</v>
      </c>
      <c r="L8" s="118"/>
      <c r="M8" s="122">
        <f>$B$8-M2</f>
        <v>90.972723149448342</v>
      </c>
      <c r="N8" s="118"/>
      <c r="O8" s="117">
        <f>$B$8-O2</f>
        <v>89.972723149448342</v>
      </c>
      <c r="P8" s="94"/>
      <c r="Q8" s="147">
        <f>$B$8-Q2</f>
        <v>91.472723149448342</v>
      </c>
      <c r="R8" s="148"/>
      <c r="S8" s="147">
        <f>$B$8-S2</f>
        <v>91.222723149448342</v>
      </c>
      <c r="T8" s="148"/>
      <c r="U8" s="147">
        <f>$B$8-U2</f>
        <v>90.972723149448342</v>
      </c>
      <c r="V8" s="148"/>
      <c r="W8" s="149">
        <f>$B$8-W2</f>
        <v>89.972723149448342</v>
      </c>
      <c r="X8" s="150"/>
      <c r="Y8" s="165">
        <f>$B$8-Y2</f>
        <v>89.972723149448342</v>
      </c>
      <c r="Z8" s="166"/>
      <c r="AA8" s="165">
        <f>$B$8-AA2</f>
        <v>86.972723149448342</v>
      </c>
      <c r="AB8" s="166"/>
      <c r="AC8" s="167">
        <f>$B$8-AC2</f>
        <v>81.972723149448342</v>
      </c>
      <c r="AD8" s="168"/>
      <c r="AE8" s="187">
        <f>$B$8-AE2</f>
        <v>89.972723149448342</v>
      </c>
      <c r="AF8" s="188"/>
      <c r="AG8" s="187">
        <f>$B$8-AG2</f>
        <v>86.972723149448342</v>
      </c>
      <c r="AH8" s="188"/>
      <c r="AI8" s="189">
        <f>$B$8-AI2</f>
        <v>81.972723149448342</v>
      </c>
      <c r="AJ8" s="190"/>
      <c r="AK8" s="204">
        <f>$B$8-AK2</f>
        <v>89.972723149448342</v>
      </c>
      <c r="AL8" s="205"/>
      <c r="AM8" s="204">
        <f>$B$8-AM2</f>
        <v>86.972723149448342</v>
      </c>
      <c r="AN8" s="205"/>
      <c r="AO8" s="206">
        <f>$B$8-AO2</f>
        <v>81.972723149448342</v>
      </c>
      <c r="AP8" s="9"/>
    </row>
    <row r="12" spans="1:42" x14ac:dyDescent="0.35">
      <c r="A12" s="95" t="s">
        <v>83</v>
      </c>
      <c r="B12" s="95"/>
      <c r="C12" s="95"/>
      <c r="D12" s="95"/>
      <c r="E12" s="95"/>
      <c r="F12" s="95"/>
      <c r="G12" s="95"/>
      <c r="H12" s="95"/>
      <c r="I12" s="95"/>
      <c r="J12" s="81" t="s">
        <v>89</v>
      </c>
      <c r="K12" s="81"/>
      <c r="L12" s="81"/>
      <c r="M12" s="81"/>
      <c r="N12" s="81"/>
      <c r="O12" s="81"/>
      <c r="P12" s="81"/>
      <c r="Q12" s="81"/>
      <c r="R12" s="93" t="s">
        <v>91</v>
      </c>
      <c r="S12" s="93"/>
      <c r="T12" s="93"/>
      <c r="U12" s="93"/>
      <c r="V12" s="93"/>
      <c r="W12" s="93"/>
      <c r="X12" s="93"/>
      <c r="Y12" s="93"/>
    </row>
    <row r="13" spans="1:42" x14ac:dyDescent="0.35">
      <c r="A13" s="130" t="s">
        <v>84</v>
      </c>
      <c r="B13" s="53" t="s">
        <v>85</v>
      </c>
      <c r="C13" s="55"/>
      <c r="D13" s="55"/>
      <c r="E13" s="55"/>
      <c r="F13" s="55"/>
      <c r="G13" s="55"/>
      <c r="H13" s="55"/>
      <c r="I13" s="55"/>
      <c r="J13" s="123" t="s">
        <v>84</v>
      </c>
      <c r="K13" s="64" t="s">
        <v>85</v>
      </c>
      <c r="L13" s="65"/>
      <c r="M13" s="65"/>
      <c r="N13" s="65"/>
      <c r="O13" s="65"/>
      <c r="P13" s="65"/>
      <c r="Q13" s="65"/>
      <c r="R13" s="138" t="s">
        <v>92</v>
      </c>
      <c r="S13" s="138"/>
      <c r="T13" s="138"/>
      <c r="U13" s="138"/>
      <c r="V13" s="138"/>
      <c r="W13" s="138"/>
      <c r="X13" s="138"/>
      <c r="Y13" s="138"/>
    </row>
    <row r="14" spans="1:42" x14ac:dyDescent="0.35">
      <c r="A14" s="127">
        <v>0</v>
      </c>
      <c r="B14" s="125">
        <v>0.89029999999999998</v>
      </c>
      <c r="C14" s="55"/>
      <c r="D14" s="55"/>
      <c r="E14" s="55"/>
      <c r="F14" s="55"/>
      <c r="G14" s="55"/>
      <c r="H14" s="55"/>
      <c r="I14" s="55"/>
      <c r="J14" s="99">
        <v>0.25</v>
      </c>
      <c r="K14" s="66">
        <v>2.5</v>
      </c>
      <c r="L14" s="65"/>
      <c r="M14" s="65"/>
      <c r="N14" s="65"/>
      <c r="O14" s="65"/>
      <c r="P14" s="65"/>
      <c r="Q14" s="65"/>
      <c r="R14" s="151" t="s">
        <v>93</v>
      </c>
      <c r="S14" s="138">
        <v>8</v>
      </c>
      <c r="T14" s="138"/>
      <c r="U14" s="138"/>
      <c r="V14" s="138"/>
      <c r="W14" s="138"/>
      <c r="X14" s="138"/>
      <c r="Y14" s="138"/>
    </row>
    <row r="15" spans="1:42" x14ac:dyDescent="0.35">
      <c r="A15" s="127">
        <v>0.5</v>
      </c>
      <c r="B15" s="125">
        <v>0.99760000000000004</v>
      </c>
      <c r="C15" s="55"/>
      <c r="D15" s="55"/>
      <c r="E15" s="55"/>
      <c r="F15" s="55"/>
      <c r="G15" s="55"/>
      <c r="H15" s="55"/>
      <c r="I15" s="55"/>
      <c r="J15" s="99">
        <v>0.5</v>
      </c>
      <c r="K15" s="66">
        <v>3.5</v>
      </c>
      <c r="L15" s="65"/>
      <c r="M15" s="65"/>
      <c r="N15" s="65"/>
      <c r="O15" s="65"/>
      <c r="P15" s="65"/>
      <c r="Q15" s="65"/>
      <c r="R15" s="155" t="s">
        <v>84</v>
      </c>
      <c r="S15" s="135" t="s">
        <v>85</v>
      </c>
      <c r="T15" s="138"/>
      <c r="U15" s="138"/>
      <c r="V15" s="138"/>
      <c r="W15" s="138"/>
      <c r="X15" s="138"/>
      <c r="Y15" s="138"/>
    </row>
    <row r="16" spans="1:42" x14ac:dyDescent="0.35">
      <c r="A16" s="127">
        <v>1</v>
      </c>
      <c r="B16" s="125">
        <v>1.1412</v>
      </c>
      <c r="C16" s="55"/>
      <c r="D16" s="55"/>
      <c r="E16" s="55"/>
      <c r="F16" s="55"/>
      <c r="G16" s="55"/>
      <c r="H16" s="55"/>
      <c r="I16" s="55"/>
      <c r="J16" s="99">
        <v>1</v>
      </c>
      <c r="K16" s="66">
        <v>6</v>
      </c>
      <c r="L16" s="65"/>
      <c r="M16" s="65"/>
      <c r="N16" s="65"/>
      <c r="O16" s="65"/>
      <c r="P16" s="65"/>
      <c r="Q16" s="65"/>
      <c r="R16" s="156">
        <v>2</v>
      </c>
      <c r="S16" s="139">
        <v>1140</v>
      </c>
      <c r="T16" s="138"/>
      <c r="U16" s="138"/>
      <c r="V16" s="138"/>
      <c r="W16" s="138"/>
      <c r="X16" s="138"/>
      <c r="Y16" s="138"/>
    </row>
    <row r="17" spans="1:25" x14ac:dyDescent="0.35">
      <c r="A17" s="127">
        <v>1.5</v>
      </c>
      <c r="B17" s="125">
        <v>1.2732000000000001</v>
      </c>
      <c r="C17" s="55"/>
      <c r="D17" s="55"/>
      <c r="E17" s="55"/>
      <c r="F17" s="55"/>
      <c r="G17" s="55"/>
      <c r="H17" s="55"/>
      <c r="I17" s="55"/>
      <c r="J17" s="99">
        <v>1.25</v>
      </c>
      <c r="K17" s="66">
        <v>7.5</v>
      </c>
      <c r="L17" s="65"/>
      <c r="M17" s="65"/>
      <c r="N17" s="65"/>
      <c r="O17" s="65"/>
      <c r="P17" s="65"/>
      <c r="Q17" s="65"/>
      <c r="R17" s="156">
        <f>R16/2</f>
        <v>1</v>
      </c>
      <c r="S17" s="139">
        <f>S16/8</f>
        <v>142.5</v>
      </c>
      <c r="T17" s="138"/>
      <c r="U17" s="138"/>
      <c r="V17" s="138"/>
      <c r="W17" s="138"/>
      <c r="X17" s="138"/>
      <c r="Y17" s="138"/>
    </row>
    <row r="18" spans="1:25" x14ac:dyDescent="0.35">
      <c r="A18" s="127">
        <v>2</v>
      </c>
      <c r="B18" s="125">
        <v>1.4058999999999999</v>
      </c>
      <c r="C18" s="55"/>
      <c r="D18" s="55"/>
      <c r="E18" s="55"/>
      <c r="F18" s="55"/>
      <c r="G18" s="55"/>
      <c r="H18" s="55"/>
      <c r="I18" s="55"/>
      <c r="J18" s="99">
        <v>1.5</v>
      </c>
      <c r="K18" s="66">
        <v>9.5</v>
      </c>
      <c r="L18" s="65"/>
      <c r="M18" s="65"/>
      <c r="N18" s="65"/>
      <c r="O18" s="65"/>
      <c r="P18" s="65"/>
      <c r="Q18" s="65"/>
      <c r="R18" s="156">
        <v>0.75</v>
      </c>
      <c r="S18" s="154">
        <f>S19*4</f>
        <v>71.25</v>
      </c>
      <c r="T18" s="138"/>
      <c r="U18" s="138"/>
      <c r="V18" s="138"/>
      <c r="W18" s="138"/>
      <c r="X18" s="138"/>
      <c r="Y18" s="138"/>
    </row>
    <row r="19" spans="1:25" ht="15" thickBot="1" x14ac:dyDescent="0.4">
      <c r="A19" s="128">
        <v>3</v>
      </c>
      <c r="B19" s="126">
        <v>1.6820999999999999</v>
      </c>
      <c r="C19" s="55"/>
      <c r="D19" s="55"/>
      <c r="E19" s="55"/>
      <c r="F19" s="55"/>
      <c r="G19" s="55"/>
      <c r="H19" s="55"/>
      <c r="I19" s="55"/>
      <c r="J19" s="99">
        <v>2</v>
      </c>
      <c r="K19" s="66">
        <v>15</v>
      </c>
      <c r="L19" s="65"/>
      <c r="M19" s="65"/>
      <c r="N19" s="65"/>
      <c r="O19" s="65"/>
      <c r="P19" s="65"/>
      <c r="Q19" s="65"/>
      <c r="R19" s="157">
        <f>R17/2</f>
        <v>0.5</v>
      </c>
      <c r="S19" s="148">
        <f>S17/8</f>
        <v>17.8125</v>
      </c>
      <c r="T19" s="138"/>
      <c r="U19" s="138"/>
      <c r="V19" s="138"/>
      <c r="W19" s="138"/>
      <c r="X19" s="138"/>
      <c r="Y19" s="138"/>
    </row>
    <row r="20" spans="1:25" ht="15" thickTop="1" x14ac:dyDescent="0.35">
      <c r="A20" s="129">
        <v>5</v>
      </c>
      <c r="B20" s="113">
        <f>0.2664*A20+0.8765</f>
        <v>2.2084999999999999</v>
      </c>
      <c r="C20" s="55"/>
      <c r="D20" s="55"/>
      <c r="E20" s="55"/>
      <c r="F20" s="55"/>
      <c r="G20" s="55"/>
      <c r="H20" s="55"/>
      <c r="I20" s="55"/>
      <c r="J20" s="99">
        <v>2.5</v>
      </c>
      <c r="K20" s="66">
        <v>24</v>
      </c>
      <c r="L20" s="65"/>
      <c r="M20" s="65"/>
      <c r="N20" s="65"/>
      <c r="O20" s="65"/>
      <c r="P20" s="65"/>
      <c r="Q20" s="65"/>
      <c r="R20" s="138"/>
      <c r="S20" s="138"/>
      <c r="T20" s="138"/>
      <c r="U20" s="138"/>
      <c r="V20" s="138"/>
      <c r="W20" s="138"/>
      <c r="X20" s="138"/>
      <c r="Y20" s="138"/>
    </row>
    <row r="21" spans="1:25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99">
        <v>3</v>
      </c>
      <c r="K21" s="66">
        <v>37</v>
      </c>
      <c r="L21" s="65"/>
      <c r="M21" s="65"/>
      <c r="N21" s="65"/>
      <c r="O21" s="65"/>
      <c r="P21" s="65"/>
      <c r="Q21" s="65"/>
      <c r="R21" s="138"/>
      <c r="S21" s="138"/>
      <c r="T21" s="138"/>
      <c r="U21" s="138"/>
      <c r="V21" s="138"/>
      <c r="W21" s="138"/>
      <c r="X21" s="138"/>
      <c r="Y21" s="138"/>
    </row>
    <row r="22" spans="1:25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99">
        <v>3.5</v>
      </c>
      <c r="K22" s="66">
        <v>54</v>
      </c>
      <c r="L22" s="65"/>
      <c r="M22" s="65"/>
      <c r="N22" s="65"/>
      <c r="O22" s="65"/>
      <c r="P22" s="65"/>
      <c r="Q22" s="65"/>
      <c r="R22" s="138"/>
      <c r="S22" s="138"/>
      <c r="T22" s="138"/>
      <c r="U22" s="138"/>
      <c r="V22" s="138"/>
      <c r="W22" s="138"/>
      <c r="X22" s="138"/>
      <c r="Y22" s="138"/>
    </row>
    <row r="23" spans="1:25" x14ac:dyDescent="0.35">
      <c r="A23" s="55"/>
      <c r="B23" s="55"/>
      <c r="C23" s="55"/>
      <c r="D23" s="55"/>
      <c r="E23" s="55"/>
      <c r="F23" s="55"/>
      <c r="G23" s="55"/>
      <c r="H23" s="55"/>
      <c r="I23" s="55"/>
      <c r="J23" s="99">
        <v>4</v>
      </c>
      <c r="K23" s="66">
        <v>80</v>
      </c>
      <c r="L23" s="65"/>
      <c r="M23" s="65"/>
      <c r="N23" s="65"/>
      <c r="O23" s="65"/>
      <c r="P23" s="65"/>
      <c r="Q23" s="65"/>
      <c r="R23" s="138"/>
      <c r="S23" s="138"/>
      <c r="T23" s="138"/>
      <c r="U23" s="138"/>
      <c r="V23" s="138"/>
      <c r="W23" s="138"/>
      <c r="X23" s="138"/>
      <c r="Y23" s="138"/>
    </row>
    <row r="24" spans="1:25" x14ac:dyDescent="0.35">
      <c r="A24" s="55"/>
      <c r="B24" s="55"/>
      <c r="C24" s="55"/>
      <c r="D24" s="55"/>
      <c r="E24" s="55"/>
      <c r="F24" s="55"/>
      <c r="G24" s="55"/>
      <c r="H24" s="55"/>
      <c r="I24" s="55"/>
      <c r="J24" s="99">
        <v>4.5</v>
      </c>
      <c r="K24" s="66">
        <v>113</v>
      </c>
      <c r="L24" s="65"/>
      <c r="M24" s="65"/>
      <c r="N24" s="65"/>
      <c r="O24" s="65"/>
      <c r="P24" s="65"/>
      <c r="Q24" s="65"/>
      <c r="R24" s="138"/>
      <c r="S24" s="138"/>
      <c r="T24" s="138"/>
      <c r="U24" s="138"/>
      <c r="V24" s="138"/>
      <c r="W24" s="138"/>
      <c r="X24" s="138"/>
      <c r="Y24" s="138"/>
    </row>
    <row r="25" spans="1:25" ht="15" thickBot="1" x14ac:dyDescent="0.4">
      <c r="A25" s="55"/>
      <c r="B25" s="55"/>
      <c r="C25" s="55"/>
      <c r="D25" s="55"/>
      <c r="E25" s="55"/>
      <c r="F25" s="55"/>
      <c r="G25" s="55"/>
      <c r="H25" s="55"/>
      <c r="I25" s="55"/>
      <c r="J25" s="100">
        <v>5</v>
      </c>
      <c r="K25" s="68">
        <v>160</v>
      </c>
      <c r="L25" s="65"/>
      <c r="M25" s="65"/>
      <c r="N25" s="65"/>
      <c r="O25" s="65"/>
      <c r="P25" s="65"/>
      <c r="Q25" s="65"/>
      <c r="R25" s="138"/>
      <c r="S25" s="138"/>
      <c r="T25" s="138"/>
      <c r="U25" s="138"/>
      <c r="V25" s="138"/>
      <c r="W25" s="138"/>
      <c r="X25" s="138"/>
      <c r="Y25" s="138"/>
    </row>
    <row r="26" spans="1:25" ht="15" thickTop="1" x14ac:dyDescent="0.35">
      <c r="A26" s="55"/>
      <c r="B26" s="55"/>
      <c r="C26" s="55"/>
      <c r="D26" s="55"/>
      <c r="E26" s="55"/>
      <c r="F26" s="55"/>
      <c r="G26" s="55"/>
      <c r="H26" s="55"/>
      <c r="I26" s="55"/>
      <c r="J26" s="124">
        <v>0.75</v>
      </c>
      <c r="K26" s="118">
        <f>2.4445*EXP(0.868*J26)</f>
        <v>4.6872244381313903</v>
      </c>
      <c r="L26" s="65"/>
      <c r="M26" s="65"/>
      <c r="N26" s="65"/>
      <c r="O26" s="65"/>
      <c r="P26" s="65"/>
      <c r="Q26" s="65"/>
      <c r="R26" s="138"/>
      <c r="S26" s="138"/>
      <c r="T26" s="138"/>
      <c r="U26" s="138"/>
      <c r="V26" s="138"/>
      <c r="W26" s="138"/>
      <c r="X26" s="138"/>
      <c r="Y26" s="138"/>
    </row>
    <row r="27" spans="1:25" x14ac:dyDescent="0.35">
      <c r="A27" s="55"/>
      <c r="B27" s="55"/>
      <c r="C27" s="55"/>
      <c r="D27" s="55"/>
      <c r="E27" s="55"/>
      <c r="F27" s="55"/>
      <c r="G27" s="55"/>
      <c r="H27" s="55"/>
      <c r="I27" s="55"/>
      <c r="J27" s="65"/>
      <c r="K27" s="65"/>
      <c r="L27" s="65"/>
      <c r="M27" s="65"/>
      <c r="N27" s="65"/>
      <c r="O27" s="65"/>
      <c r="P27" s="65"/>
      <c r="Q27" s="65"/>
      <c r="R27" s="138"/>
      <c r="S27" s="138"/>
      <c r="T27" s="138"/>
      <c r="U27" s="138"/>
      <c r="V27" s="138"/>
      <c r="W27" s="138"/>
      <c r="X27" s="138"/>
      <c r="Y27" s="138"/>
    </row>
    <row r="32" spans="1:25" x14ac:dyDescent="0.35">
      <c r="B32" t="s">
        <v>94</v>
      </c>
      <c r="C32" t="s">
        <v>95</v>
      </c>
      <c r="D32" t="s">
        <v>96</v>
      </c>
      <c r="E32" t="s">
        <v>97</v>
      </c>
      <c r="F32">
        <v>98</v>
      </c>
      <c r="G32">
        <v>95</v>
      </c>
      <c r="H32">
        <v>90</v>
      </c>
      <c r="I32" t="s">
        <v>98</v>
      </c>
      <c r="L32" t="s">
        <v>127</v>
      </c>
    </row>
    <row r="33" spans="1:13" x14ac:dyDescent="0.35">
      <c r="A33" t="s">
        <v>119</v>
      </c>
      <c r="B33">
        <v>1.0006999999999999</v>
      </c>
      <c r="D33">
        <v>1.4058999999999999</v>
      </c>
      <c r="E33">
        <f>'Osmolarity + Water content'!F19/1000000</f>
        <v>2.5000000000000002E-6</v>
      </c>
      <c r="F33">
        <f>E33*100</f>
        <v>2.5000000000000001E-4</v>
      </c>
      <c r="G33">
        <f>E33*100</f>
        <v>2.5000000000000001E-4</v>
      </c>
      <c r="H33">
        <f>E33*100</f>
        <v>2.5000000000000001E-4</v>
      </c>
      <c r="I33" t="s">
        <v>100</v>
      </c>
      <c r="J33" t="s">
        <v>99</v>
      </c>
      <c r="L33" t="s">
        <v>125</v>
      </c>
      <c r="M33" t="s">
        <v>140</v>
      </c>
    </row>
    <row r="34" spans="1:13" x14ac:dyDescent="0.35">
      <c r="A34" t="s">
        <v>139</v>
      </c>
      <c r="B34" t="s">
        <v>125</v>
      </c>
      <c r="D34" t="s">
        <v>125</v>
      </c>
      <c r="L34" t="s">
        <v>126</v>
      </c>
      <c r="M34" t="s">
        <v>142</v>
      </c>
    </row>
    <row r="35" spans="1:13" x14ac:dyDescent="0.35">
      <c r="A35" t="s">
        <v>101</v>
      </c>
      <c r="B35">
        <f>B33-0.02</f>
        <v>0.98069999999999991</v>
      </c>
      <c r="C35" t="s">
        <v>102</v>
      </c>
      <c r="D35">
        <f>B35/B36*100</f>
        <v>98.365095285857564</v>
      </c>
      <c r="E35" t="s">
        <v>103</v>
      </c>
      <c r="F35">
        <f>D35-(100-F32)</f>
        <v>96.365095285857564</v>
      </c>
      <c r="G35">
        <f>D35-(100-G32)</f>
        <v>93.365095285857564</v>
      </c>
      <c r="H35">
        <f>D35-(100-H32)</f>
        <v>88.365095285857564</v>
      </c>
      <c r="I35" t="s">
        <v>62</v>
      </c>
      <c r="L35" t="s">
        <v>130</v>
      </c>
      <c r="M35" t="s">
        <v>144</v>
      </c>
    </row>
    <row r="36" spans="1:13" x14ac:dyDescent="0.35">
      <c r="A36" t="s">
        <v>104</v>
      </c>
      <c r="B36">
        <v>0.997</v>
      </c>
      <c r="C36">
        <v>18.0153</v>
      </c>
      <c r="E36">
        <f>B36/C36</f>
        <v>5.5341848317818743E-2</v>
      </c>
      <c r="L36" t="s">
        <v>148</v>
      </c>
      <c r="M36" t="s">
        <v>150</v>
      </c>
    </row>
    <row r="37" spans="1:13" x14ac:dyDescent="0.35">
      <c r="A37" t="s">
        <v>105</v>
      </c>
      <c r="F37">
        <f>E36*F35</f>
        <v>5.3330224864420792</v>
      </c>
      <c r="G37">
        <f>E36*G35</f>
        <v>5.1669969414886232</v>
      </c>
      <c r="H37">
        <f>E36*H35</f>
        <v>4.8902876998995293</v>
      </c>
      <c r="I37" t="s">
        <v>100</v>
      </c>
      <c r="L37" t="s">
        <v>149</v>
      </c>
      <c r="M37" t="s">
        <v>147</v>
      </c>
    </row>
    <row r="38" spans="1:13" x14ac:dyDescent="0.35">
      <c r="A38" t="s">
        <v>106</v>
      </c>
      <c r="B38">
        <f>B33</f>
        <v>1.0006999999999999</v>
      </c>
      <c r="D38">
        <f>D33</f>
        <v>1.4058999999999999</v>
      </c>
      <c r="F38">
        <f>F33+F37</f>
        <v>5.3332724864420795</v>
      </c>
      <c r="G38">
        <f>G33+G37</f>
        <v>5.1672469414886235</v>
      </c>
      <c r="H38">
        <f>H33+H37</f>
        <v>4.8905376998995296</v>
      </c>
      <c r="I38" t="s">
        <v>100</v>
      </c>
    </row>
    <row r="40" spans="1:13" x14ac:dyDescent="0.35">
      <c r="A40" s="36" t="s">
        <v>107</v>
      </c>
      <c r="B40" s="36">
        <v>1.2</v>
      </c>
      <c r="C40" s="36">
        <v>86.58</v>
      </c>
      <c r="D40" s="36">
        <v>1200</v>
      </c>
      <c r="E40" s="36">
        <f>B40/C40</f>
        <v>1.386001386001386E-2</v>
      </c>
      <c r="F40" s="36">
        <f>E40*(100-F32)</f>
        <v>2.7720027720027719E-2</v>
      </c>
      <c r="G40" s="36">
        <f>E40*(100-G32)</f>
        <v>6.9300069300069295E-2</v>
      </c>
      <c r="H40" s="36">
        <f>E40*(100-H32)</f>
        <v>0.13860013860013859</v>
      </c>
      <c r="I40" s="36" t="s">
        <v>100</v>
      </c>
      <c r="J40" s="36" t="s">
        <v>99</v>
      </c>
    </row>
    <row r="41" spans="1:13" x14ac:dyDescent="0.35">
      <c r="A41" s="36" t="s">
        <v>139</v>
      </c>
      <c r="B41" s="36" t="s">
        <v>143</v>
      </c>
      <c r="C41" s="36"/>
      <c r="D41" s="36" t="s">
        <v>145</v>
      </c>
      <c r="E41" s="36"/>
      <c r="F41" s="36"/>
      <c r="G41" s="36"/>
      <c r="H41" s="36"/>
      <c r="I41" s="36"/>
      <c r="J41" s="36"/>
    </row>
    <row r="42" spans="1:13" x14ac:dyDescent="0.35">
      <c r="A42" s="36" t="s">
        <v>108</v>
      </c>
      <c r="B42" s="36"/>
      <c r="C42" s="36">
        <v>139.63</v>
      </c>
      <c r="D42" s="36"/>
      <c r="E42" s="36"/>
      <c r="F42" s="36">
        <f>F40*10000*1/3</f>
        <v>92.40009240009239</v>
      </c>
      <c r="G42" s="36">
        <f t="shared" ref="G42:H42" si="16">G40*10000*1/3</f>
        <v>231.000231000231</v>
      </c>
      <c r="H42" s="36">
        <f t="shared" si="16"/>
        <v>462.00046200046199</v>
      </c>
      <c r="I42" s="36" t="s">
        <v>5</v>
      </c>
      <c r="J42" s="36"/>
    </row>
    <row r="43" spans="1:13" x14ac:dyDescent="0.35">
      <c r="A43" s="36" t="s">
        <v>138</v>
      </c>
      <c r="B43" s="36"/>
      <c r="C43" s="36"/>
      <c r="D43" s="36"/>
      <c r="E43" s="36"/>
      <c r="F43" s="36">
        <f>F38+F40</f>
        <v>5.3609925141621071</v>
      </c>
      <c r="G43" s="36">
        <f t="shared" ref="G43:H43" si="17">G38+G40</f>
        <v>5.2365470107886924</v>
      </c>
      <c r="H43" s="36">
        <f t="shared" si="17"/>
        <v>5.0291378384996683</v>
      </c>
      <c r="I43" s="36" t="s">
        <v>100</v>
      </c>
      <c r="J43" s="36"/>
    </row>
    <row r="44" spans="1:13" x14ac:dyDescent="0.35">
      <c r="A44" s="36" t="s">
        <v>109</v>
      </c>
      <c r="B44" s="36"/>
      <c r="C44" s="36"/>
      <c r="D44" s="36"/>
      <c r="E44" s="36"/>
      <c r="F44" s="36">
        <f>F38/F43</f>
        <v>0.99482931049674106</v>
      </c>
      <c r="G44" s="36">
        <f t="shared" ref="G44:H44" si="18">G38/G43</f>
        <v>0.98676607521000148</v>
      </c>
      <c r="H44" s="36">
        <f t="shared" si="18"/>
        <v>0.97244057668511086</v>
      </c>
      <c r="I44" s="36"/>
      <c r="J44" s="36"/>
    </row>
    <row r="45" spans="1:13" x14ac:dyDescent="0.35">
      <c r="A45" s="36" t="s">
        <v>110</v>
      </c>
      <c r="B45" s="36"/>
      <c r="C45" s="36"/>
      <c r="D45" s="36"/>
      <c r="E45" s="36"/>
      <c r="F45" s="36">
        <f>F40/F43</f>
        <v>5.1706895032589319E-3</v>
      </c>
      <c r="G45" s="36">
        <f t="shared" ref="G45:H45" si="19">G40/G43</f>
        <v>1.3233924789998552E-2</v>
      </c>
      <c r="H45" s="36">
        <f t="shared" si="19"/>
        <v>2.7559423314889073E-2</v>
      </c>
      <c r="I45" s="36"/>
      <c r="J45" s="36"/>
    </row>
    <row r="47" spans="1:13" x14ac:dyDescent="0.35">
      <c r="A47" s="177" t="s">
        <v>111</v>
      </c>
      <c r="B47" s="177">
        <v>1.2</v>
      </c>
      <c r="C47" s="177">
        <v>107.93600000000001</v>
      </c>
      <c r="D47" s="177">
        <v>300</v>
      </c>
      <c r="E47" s="177">
        <f>B47/C47</f>
        <v>1.1117699377408833E-2</v>
      </c>
      <c r="F47" s="177">
        <f>E47*(100-F32)</f>
        <v>2.2235398754817667E-2</v>
      </c>
      <c r="G47" s="177">
        <f>E47*(100-G32)</f>
        <v>5.5588496887044168E-2</v>
      </c>
      <c r="H47" s="177">
        <f>E47*(100-H32)</f>
        <v>0.11117699377408834</v>
      </c>
      <c r="I47" s="177" t="s">
        <v>100</v>
      </c>
      <c r="J47" s="177" t="s">
        <v>99</v>
      </c>
    </row>
    <row r="48" spans="1:13" x14ac:dyDescent="0.35">
      <c r="A48" s="177" t="s">
        <v>139</v>
      </c>
      <c r="B48" s="177" t="s">
        <v>146</v>
      </c>
      <c r="C48" s="177"/>
      <c r="D48" s="177" t="s">
        <v>145</v>
      </c>
      <c r="E48" s="177"/>
      <c r="F48" s="177"/>
      <c r="G48" s="177"/>
      <c r="H48" s="177"/>
      <c r="I48" s="177"/>
      <c r="J48" s="177"/>
    </row>
    <row r="49" spans="1:10" x14ac:dyDescent="0.35">
      <c r="A49" s="177" t="s">
        <v>108</v>
      </c>
      <c r="B49" s="177"/>
      <c r="C49" s="177">
        <v>139.63</v>
      </c>
      <c r="D49" s="177"/>
      <c r="E49" s="177"/>
      <c r="F49" s="177">
        <f>F47*10000*1/3</f>
        <v>74.117995849392216</v>
      </c>
      <c r="G49" s="177">
        <f t="shared" ref="G49" si="20">G47*10000*1/3</f>
        <v>185.29498962348055</v>
      </c>
      <c r="H49" s="177">
        <f t="shared" ref="H49" si="21">H47*10000*1/3</f>
        <v>370.58997924696109</v>
      </c>
      <c r="I49" s="177" t="s">
        <v>5</v>
      </c>
      <c r="J49" s="177"/>
    </row>
    <row r="50" spans="1:10" x14ac:dyDescent="0.35">
      <c r="A50" s="177" t="s">
        <v>138</v>
      </c>
      <c r="B50" s="177"/>
      <c r="C50" s="177"/>
      <c r="D50" s="177"/>
      <c r="E50" s="177"/>
      <c r="F50" s="177">
        <f>F38+F47</f>
        <v>5.3555078851968974</v>
      </c>
      <c r="G50" s="177">
        <f>G38+G47</f>
        <v>5.2228354383756681</v>
      </c>
      <c r="H50" s="177">
        <f>H38+H47</f>
        <v>5.0017146936736179</v>
      </c>
      <c r="I50" s="177" t="s">
        <v>100</v>
      </c>
      <c r="J50" s="177"/>
    </row>
    <row r="51" spans="1:10" x14ac:dyDescent="0.35">
      <c r="A51" s="177" t="s">
        <v>109</v>
      </c>
      <c r="B51" s="177"/>
      <c r="C51" s="177"/>
      <c r="D51" s="177"/>
      <c r="E51" s="177"/>
      <c r="F51" s="177">
        <f>F38/F50</f>
        <v>0.99584812510195742</v>
      </c>
      <c r="G51" s="177">
        <f>G38/G50</f>
        <v>0.98935664400248979</v>
      </c>
      <c r="H51" s="177">
        <f>H38/H50</f>
        <v>0.97777222401055586</v>
      </c>
      <c r="I51" s="177"/>
      <c r="J51" s="177"/>
    </row>
    <row r="52" spans="1:10" x14ac:dyDescent="0.35">
      <c r="A52" s="177" t="s">
        <v>112</v>
      </c>
      <c r="B52" s="177"/>
      <c r="C52" s="177"/>
      <c r="D52" s="177"/>
      <c r="E52" s="177"/>
      <c r="F52" s="177">
        <f>F47/F50</f>
        <v>4.1518748980424987E-3</v>
      </c>
      <c r="G52" s="177">
        <f t="shared" ref="G52:H52" si="22">G47/G50</f>
        <v>1.0643355997510141E-2</v>
      </c>
      <c r="H52" s="177">
        <f t="shared" si="22"/>
        <v>2.2227775989444129E-2</v>
      </c>
      <c r="I52" s="177"/>
      <c r="J52" s="177"/>
    </row>
    <row r="54" spans="1:10" x14ac:dyDescent="0.35">
      <c r="A54" s="11" t="s">
        <v>113</v>
      </c>
      <c r="B54" s="11">
        <v>1.1200000000000001</v>
      </c>
      <c r="C54" s="11">
        <v>75.84</v>
      </c>
      <c r="D54" s="203">
        <f>0.24367*EXP(-0.05288*25)*1000</f>
        <v>64.962803410929666</v>
      </c>
      <c r="E54" s="11">
        <f>B54/C54</f>
        <v>1.4767932489451477E-2</v>
      </c>
      <c r="F54" s="11">
        <f>E54*(100-F32)</f>
        <v>2.9535864978902954E-2</v>
      </c>
      <c r="G54" s="11">
        <f>E54*(100-G32)</f>
        <v>7.3839662447257384E-2</v>
      </c>
      <c r="H54" s="11">
        <f>E54*(100-H32)</f>
        <v>0.14767932489451477</v>
      </c>
      <c r="I54" s="11" t="s">
        <v>100</v>
      </c>
      <c r="J54" s="11" t="s">
        <v>99</v>
      </c>
    </row>
    <row r="55" spans="1:10" x14ac:dyDescent="0.35">
      <c r="A55" s="11" t="s">
        <v>139</v>
      </c>
      <c r="B55" s="11" t="s">
        <v>148</v>
      </c>
      <c r="C55" s="11"/>
      <c r="D55" s="203" t="s">
        <v>149</v>
      </c>
      <c r="E55" s="11"/>
      <c r="F55" s="11"/>
      <c r="G55" s="11"/>
      <c r="H55" s="11"/>
      <c r="I55" s="11"/>
      <c r="J55" s="11"/>
    </row>
    <row r="56" spans="1:10" x14ac:dyDescent="0.35">
      <c r="A56" s="11" t="s">
        <v>114</v>
      </c>
      <c r="B56" s="11"/>
      <c r="C56" s="11">
        <v>117.15</v>
      </c>
      <c r="D56" s="11"/>
      <c r="E56" s="11"/>
      <c r="F56" s="11">
        <f>F54*10000*1/4</f>
        <v>73.839662447257382</v>
      </c>
      <c r="G56" s="11">
        <f t="shared" ref="G56:H56" si="23">G54*10000*1/4</f>
        <v>184.59915611814347</v>
      </c>
      <c r="H56" s="11">
        <f t="shared" si="23"/>
        <v>369.19831223628694</v>
      </c>
      <c r="I56" s="11" t="s">
        <v>5</v>
      </c>
      <c r="J56" s="11"/>
    </row>
    <row r="57" spans="1:10" x14ac:dyDescent="0.35">
      <c r="A57" s="11" t="s">
        <v>138</v>
      </c>
      <c r="B57" s="11"/>
      <c r="C57" s="11"/>
      <c r="D57" s="11"/>
      <c r="E57" s="11"/>
      <c r="F57" s="11">
        <f>F38+F54</f>
        <v>5.3628083514209823</v>
      </c>
      <c r="G57" s="11">
        <f>G38+G54</f>
        <v>5.241086603935881</v>
      </c>
      <c r="H57" s="11">
        <f>H38+H54</f>
        <v>5.0382170247940445</v>
      </c>
      <c r="I57" s="11" t="s">
        <v>100</v>
      </c>
      <c r="J57" s="11"/>
    </row>
    <row r="58" spans="1:10" x14ac:dyDescent="0.35">
      <c r="A58" s="11" t="s">
        <v>109</v>
      </c>
      <c r="B58" s="11"/>
      <c r="C58" s="11"/>
      <c r="D58" s="11"/>
      <c r="E58" s="11"/>
      <c r="F58" s="11">
        <f>F38/F57</f>
        <v>0.99449246308213179</v>
      </c>
      <c r="G58" s="11">
        <f>G38/G57</f>
        <v>0.98591138288159441</v>
      </c>
      <c r="H58" s="11">
        <f>H38/H57</f>
        <v>0.970688177153196</v>
      </c>
      <c r="I58" s="11"/>
      <c r="J58" s="11"/>
    </row>
    <row r="59" spans="1:10" x14ac:dyDescent="0.35">
      <c r="A59" s="11" t="s">
        <v>115</v>
      </c>
      <c r="B59" s="11"/>
      <c r="C59" s="11"/>
      <c r="D59" s="11"/>
      <c r="E59" s="11"/>
      <c r="F59" s="11">
        <f>F54/F57</f>
        <v>5.5075369178681985E-3</v>
      </c>
      <c r="G59" s="11">
        <f t="shared" ref="G59:H59" si="24">G54/G57</f>
        <v>1.4088617118405611E-2</v>
      </c>
      <c r="H59" s="11">
        <f t="shared" si="24"/>
        <v>2.9311822846803965E-2</v>
      </c>
      <c r="I59" s="11"/>
      <c r="J59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Osmolarity + Water content</vt:lpstr>
      <vt:lpstr>Macromolecules</vt:lpstr>
      <vt:lpstr>Properties CFPS + 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2024-02-10T14:08:18Z</dcterms:modified>
</cp:coreProperties>
</file>